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Energo\le\DKU\Investor Relations\ДОПОЛНИТЕЛЬНОЕ РАСКРЫТИЕ\DATABOOK_YtoY_IFRS\2023\"/>
    </mc:Choice>
  </mc:AlternateContent>
  <bookViews>
    <workbookView xWindow="-435" yWindow="210" windowWidth="15735" windowHeight="12060" tabRatio="867"/>
  </bookViews>
  <sheets>
    <sheet name="Contents" sheetId="30" r:id="rId1"/>
    <sheet name="Disclaimer" sheetId="43" r:id="rId2"/>
    <sheet name="Definitions" sheetId="44" r:id="rId3"/>
    <sheet name="Macroeconomics" sheetId="45" r:id="rId4"/>
    <sheet name="Shareholder capital" sheetId="31" r:id="rId5"/>
    <sheet name="Share price quotes" sheetId="32" r:id="rId6"/>
    <sheet name="Financial statements (IFRS)" sheetId="12" r:id="rId7"/>
    <sheet name="Financial ratios" sheetId="52" r:id="rId8"/>
    <sheet name="Operational data" sheetId="22" r:id="rId9"/>
    <sheet name="Energy transmission" sheetId="23" r:id="rId10"/>
    <sheet name="Investment program" sheetId="18" r:id="rId11"/>
    <sheet name="LT investment program" sheetId="39" r:id="rId12"/>
    <sheet name="RAB " sheetId="42" r:id="rId13"/>
  </sheets>
  <externalReferences>
    <externalReference r:id="rId14"/>
  </externalReferences>
  <definedNames>
    <definedName name="_ftn1" localSheetId="2">Definitions!#REF!</definedName>
    <definedName name="_ftn1" localSheetId="3">Macroeconomics!$B$27</definedName>
    <definedName name="_ftn1" localSheetId="4">'Shareholder capital'!$B$45</definedName>
    <definedName name="_ftn2" localSheetId="2">Definitions!#REF!</definedName>
    <definedName name="_ftn2" localSheetId="3">Macroeconomics!$B$47</definedName>
    <definedName name="_ftn2" localSheetId="4">'Shareholder capital'!$B$65</definedName>
    <definedName name="_ftnref1" localSheetId="2">Definitions!$B$1</definedName>
    <definedName name="_ftnref1" localSheetId="3">Macroeconomics!$B$1</definedName>
    <definedName name="_ftnref1" localSheetId="4">'Shareholder capital'!$B$1</definedName>
    <definedName name="_ftnref2" localSheetId="2">Definitions!#REF!</definedName>
    <definedName name="_ftnref2" localSheetId="3">Macroeconomics!$D$35</definedName>
    <definedName name="_ftnref2" localSheetId="4">'Shareholder capital'!#REF!</definedName>
    <definedName name="_xlnm._FilterDatabase" localSheetId="2" hidden="1">Definitions!$B$38:$E$38</definedName>
    <definedName name="_xlnm.Print_Area" localSheetId="0">Contents!$A$1:$K$32</definedName>
    <definedName name="_xlnm.Print_Area" localSheetId="2">Definitions!$A$1:$H$37</definedName>
    <definedName name="_xlnm.Print_Area" localSheetId="1">Disclaimer!$A$1:$S$33</definedName>
    <definedName name="_xlnm.Print_Area" localSheetId="9">'Energy transmission'!$A$1:$M$51</definedName>
    <definedName name="_xlnm.Print_Area" localSheetId="7">'Financial ratios'!$A$1:$G$39</definedName>
    <definedName name="_xlnm.Print_Area" localSheetId="6">'Financial statements (IFRS)'!$A$1:$G$56</definedName>
    <definedName name="_xlnm.Print_Area" localSheetId="10">'Investment program'!$A$1:$R$32</definedName>
    <definedName name="_xlnm.Print_Area" localSheetId="11">'LT investment program'!$A$1:$G$37</definedName>
    <definedName name="_xlnm.Print_Area" localSheetId="3">Macroeconomics!$A$1:$R$23</definedName>
    <definedName name="_xlnm.Print_Area" localSheetId="8">'Operational data'!$A$1:$H$40</definedName>
    <definedName name="_xlnm.Print_Area" localSheetId="12">'RAB '!$A$1:$V$45</definedName>
    <definedName name="_xlnm.Print_Area" localSheetId="5">'Share price quotes'!$A$1:$M$59</definedName>
    <definedName name="_xlnm.Print_Area" localSheetId="4">'Shareholder capital'!$A$1:$M$38</definedName>
  </definedNames>
  <calcPr calcId="162913"/>
</workbook>
</file>

<file path=xl/calcChain.xml><?xml version="1.0" encoding="utf-8"?>
<calcChain xmlns="http://schemas.openxmlformats.org/spreadsheetml/2006/main">
  <c r="C17" i="22" l="1"/>
  <c r="C15" i="22"/>
  <c r="C18" i="22"/>
  <c r="C16" i="22"/>
  <c r="C14" i="22"/>
  <c r="C13" i="22"/>
  <c r="C12" i="22"/>
  <c r="C11" i="22"/>
  <c r="C10" i="22"/>
  <c r="B37" i="52"/>
  <c r="B36" i="52"/>
  <c r="B30" i="52"/>
  <c r="B34" i="52"/>
  <c r="B31" i="52"/>
  <c r="B19" i="52"/>
  <c r="B11" i="52"/>
  <c r="B28" i="52"/>
  <c r="B25" i="52"/>
  <c r="B24" i="52"/>
  <c r="B22" i="52"/>
  <c r="B18" i="52"/>
  <c r="B16" i="52"/>
  <c r="B9" i="52"/>
  <c r="B13" i="52"/>
  <c r="B12" i="52"/>
  <c r="B55" i="12"/>
  <c r="B53" i="12"/>
  <c r="B52" i="12"/>
  <c r="B51" i="12"/>
  <c r="B50" i="12"/>
  <c r="B49" i="12"/>
  <c r="B48" i="12"/>
  <c r="B46" i="12"/>
  <c r="B45" i="12"/>
  <c r="B44" i="12"/>
  <c r="B43" i="12"/>
  <c r="B42" i="12"/>
  <c r="B39" i="12"/>
  <c r="B13" i="12"/>
  <c r="B35" i="12"/>
  <c r="B34" i="12"/>
  <c r="B33" i="12"/>
  <c r="B32" i="12"/>
  <c r="B31" i="12"/>
  <c r="B30" i="12"/>
  <c r="B26" i="12"/>
  <c r="B29" i="12"/>
  <c r="B28" i="12"/>
  <c r="B27" i="12"/>
  <c r="B15" i="12"/>
  <c r="B21" i="12"/>
  <c r="B25" i="12"/>
  <c r="B24" i="12"/>
  <c r="B23" i="12"/>
  <c r="B22" i="12"/>
  <c r="B20" i="12"/>
  <c r="B19" i="12"/>
  <c r="B18" i="12"/>
  <c r="B17" i="12"/>
  <c r="B16" i="12"/>
  <c r="B9" i="31"/>
  <c r="B17" i="31"/>
  <c r="B15" i="31"/>
  <c r="B14" i="31"/>
  <c r="B13" i="31"/>
  <c r="B12" i="31"/>
  <c r="B11" i="31"/>
  <c r="B8" i="31"/>
  <c r="B7" i="31"/>
  <c r="A10" i="30"/>
  <c r="G36" i="52" l="1"/>
  <c r="G37" i="52"/>
  <c r="G38" i="52"/>
  <c r="G30" i="52"/>
  <c r="G32" i="52" s="1"/>
  <c r="G31" i="52"/>
  <c r="G24" i="52"/>
  <c r="G26" i="52" s="1"/>
  <c r="G25" i="52"/>
  <c r="G18" i="52"/>
  <c r="G20" i="52" s="1"/>
  <c r="G19" i="52"/>
  <c r="G14" i="52"/>
  <c r="G13" i="52"/>
  <c r="G12" i="52"/>
  <c r="G11" i="52"/>
  <c r="C8" i="52"/>
  <c r="C10" i="12" l="1"/>
  <c r="C12" i="12"/>
  <c r="A31" i="30"/>
  <c r="D5" i="22"/>
  <c r="D8" i="22"/>
  <c r="G5" i="42" l="1"/>
  <c r="Q9" i="42" l="1"/>
  <c r="K9" i="42"/>
  <c r="E9" i="42"/>
  <c r="E30" i="42"/>
  <c r="K30" i="42"/>
  <c r="D18" i="42"/>
  <c r="C18" i="42"/>
  <c r="R6" i="45" l="1"/>
  <c r="D24" i="42" l="1"/>
  <c r="D23" i="42"/>
  <c r="D22" i="42"/>
  <c r="D21" i="42"/>
  <c r="D20" i="42"/>
  <c r="D19" i="42"/>
  <c r="D17" i="42"/>
  <c r="D16" i="42"/>
  <c r="D15" i="42"/>
  <c r="D14" i="42"/>
  <c r="D13" i="42"/>
  <c r="D12" i="42"/>
  <c r="D11" i="42"/>
  <c r="D10" i="42" l="1"/>
  <c r="C6" i="42"/>
  <c r="B10" i="32" l="1"/>
  <c r="B37" i="39" l="1"/>
  <c r="N16" i="18"/>
  <c r="D38" i="42" l="1"/>
  <c r="D37" i="42"/>
  <c r="C38" i="42"/>
  <c r="C37" i="42"/>
  <c r="G36" i="22" l="1"/>
  <c r="Q3" i="43" l="1"/>
  <c r="U4" i="42"/>
  <c r="G6" i="39"/>
  <c r="Q6" i="18"/>
  <c r="L6" i="23"/>
  <c r="G6" i="22"/>
  <c r="F6" i="52"/>
  <c r="F11" i="12"/>
  <c r="L6" i="32"/>
  <c r="M3" i="31"/>
  <c r="Q3" i="45"/>
  <c r="G3" i="44"/>
  <c r="G2" i="44"/>
  <c r="D4" i="31" l="1"/>
  <c r="B6" i="31"/>
  <c r="B7" i="39"/>
  <c r="G7" i="18"/>
  <c r="B7" i="23"/>
  <c r="D7" i="32"/>
  <c r="F37" i="52"/>
  <c r="F36" i="52"/>
  <c r="F31" i="52"/>
  <c r="F30" i="52"/>
  <c r="F25" i="52"/>
  <c r="F24" i="52"/>
  <c r="F19" i="52"/>
  <c r="F12" i="52"/>
  <c r="F11" i="52"/>
  <c r="F26" i="52" l="1"/>
  <c r="F32" i="52"/>
  <c r="F13" i="52"/>
  <c r="F18" i="52" s="1"/>
  <c r="F20" i="52" s="1"/>
  <c r="F38" i="52"/>
  <c r="F14" i="52" l="1"/>
  <c r="L5" i="23" l="1"/>
  <c r="G5" i="22"/>
  <c r="Q6" i="45" l="1"/>
  <c r="C43" i="42" l="1"/>
  <c r="C27" i="42"/>
  <c r="B8" i="39" l="1"/>
  <c r="B17" i="22"/>
  <c r="B15" i="22"/>
  <c r="E37" i="52" l="1"/>
  <c r="E36" i="52"/>
  <c r="E31" i="52"/>
  <c r="E30" i="52"/>
  <c r="E25" i="52"/>
  <c r="E24" i="52"/>
  <c r="E19" i="52"/>
  <c r="E12" i="52"/>
  <c r="E11" i="52"/>
  <c r="E13" i="52" l="1"/>
  <c r="E14" i="52" s="1"/>
  <c r="E26" i="52"/>
  <c r="E38" i="52"/>
  <c r="E32" i="52"/>
  <c r="E18" i="52" l="1"/>
  <c r="E20" i="52" s="1"/>
  <c r="B11" i="23" l="1"/>
  <c r="C31" i="22" l="1"/>
  <c r="C21" i="22"/>
  <c r="B10" i="31"/>
  <c r="B21" i="45"/>
  <c r="B20" i="45"/>
  <c r="C30" i="42"/>
  <c r="B10" i="39"/>
  <c r="D11" i="52" l="1"/>
  <c r="D12" i="52"/>
  <c r="D19" i="52"/>
  <c r="D24" i="52"/>
  <c r="D25" i="52"/>
  <c r="D30" i="52"/>
  <c r="D31" i="52"/>
  <c r="D36" i="52"/>
  <c r="D37" i="52"/>
  <c r="D42" i="42"/>
  <c r="C42" i="42"/>
  <c r="D41" i="42"/>
  <c r="C41" i="42"/>
  <c r="D40" i="42"/>
  <c r="C40" i="42"/>
  <c r="C39" i="42"/>
  <c r="C36" i="42"/>
  <c r="D35" i="42"/>
  <c r="C35" i="42"/>
  <c r="D34" i="42"/>
  <c r="C34" i="42"/>
  <c r="D33" i="42"/>
  <c r="C33" i="42"/>
  <c r="D32" i="42"/>
  <c r="C32" i="42"/>
  <c r="D31" i="42"/>
  <c r="C28" i="42"/>
  <c r="C25" i="42"/>
  <c r="C24" i="42"/>
  <c r="C23" i="42"/>
  <c r="C22" i="42"/>
  <c r="C21" i="42"/>
  <c r="C20" i="42"/>
  <c r="C19" i="42"/>
  <c r="C17" i="42"/>
  <c r="C16" i="42"/>
  <c r="C15" i="42"/>
  <c r="C14" i="42"/>
  <c r="C13" i="42"/>
  <c r="C12" i="42"/>
  <c r="C11" i="42"/>
  <c r="D26" i="52" l="1"/>
  <c r="D13" i="52"/>
  <c r="D14" i="52" s="1"/>
  <c r="D32" i="52"/>
  <c r="D38" i="52"/>
  <c r="D18" i="52" l="1"/>
  <c r="D20" i="52" s="1"/>
  <c r="F10" i="12" l="1"/>
  <c r="C37" i="52" l="1"/>
  <c r="C31" i="52"/>
  <c r="C36" i="52"/>
  <c r="C30" i="52"/>
  <c r="C25" i="52"/>
  <c r="C24" i="52"/>
  <c r="C19" i="52"/>
  <c r="C11" i="52"/>
  <c r="C12" i="52"/>
  <c r="C8" i="42"/>
  <c r="C13" i="52" l="1"/>
  <c r="C26" i="52"/>
  <c r="C32" i="52"/>
  <c r="C38" i="52"/>
  <c r="B11" i="22"/>
  <c r="B12" i="22"/>
  <c r="B13" i="22"/>
  <c r="B14" i="22"/>
  <c r="B16" i="22"/>
  <c r="B18" i="22"/>
  <c r="B20" i="22"/>
  <c r="B22" i="22"/>
  <c r="B23" i="22"/>
  <c r="B24" i="22"/>
  <c r="B25" i="22"/>
  <c r="B26" i="22"/>
  <c r="B27" i="22"/>
  <c r="B28" i="22"/>
  <c r="B30" i="22"/>
  <c r="B32" i="22"/>
  <c r="B33" i="22"/>
  <c r="B34" i="22"/>
  <c r="B35" i="22"/>
  <c r="B36" i="22"/>
  <c r="B37" i="22"/>
  <c r="C18" i="52" l="1"/>
  <c r="C20" i="52" s="1"/>
  <c r="C14" i="52"/>
  <c r="B26" i="44"/>
  <c r="C26" i="44"/>
  <c r="B27" i="44"/>
  <c r="C27" i="44"/>
  <c r="B28" i="44"/>
  <c r="C28" i="44"/>
  <c r="B29" i="44"/>
  <c r="C29" i="44"/>
  <c r="B30" i="44"/>
  <c r="C30" i="44"/>
  <c r="B31" i="44"/>
  <c r="C31" i="44"/>
  <c r="B32" i="44"/>
  <c r="C32" i="44"/>
  <c r="B33" i="44"/>
  <c r="C33" i="44"/>
  <c r="B34" i="44"/>
  <c r="C34" i="44"/>
  <c r="B35" i="44"/>
  <c r="C35" i="44"/>
  <c r="B36" i="44"/>
  <c r="C36" i="44"/>
  <c r="B20" i="44"/>
  <c r="C20" i="44"/>
  <c r="B21" i="44"/>
  <c r="C21" i="44"/>
  <c r="B22" i="44"/>
  <c r="C22" i="44"/>
  <c r="B19" i="39" l="1"/>
  <c r="B8" i="44" l="1"/>
  <c r="C8" i="44"/>
  <c r="B9" i="44"/>
  <c r="C9" i="44"/>
  <c r="B10" i="44"/>
  <c r="C10" i="44"/>
  <c r="B11" i="44"/>
  <c r="C11" i="44"/>
  <c r="B12" i="44"/>
  <c r="C12" i="44"/>
  <c r="B13" i="44"/>
  <c r="C13" i="44"/>
  <c r="B14" i="44"/>
  <c r="C14" i="44"/>
  <c r="B15" i="44"/>
  <c r="C15" i="44"/>
  <c r="B16" i="44"/>
  <c r="C16" i="44"/>
  <c r="B17" i="44"/>
  <c r="C17" i="44"/>
  <c r="B18" i="44"/>
  <c r="C18" i="44"/>
  <c r="B19" i="44"/>
  <c r="C19" i="44"/>
  <c r="C25" i="44"/>
  <c r="B25" i="44"/>
  <c r="C7" i="44"/>
  <c r="B7" i="44"/>
  <c r="A18" i="30" l="1"/>
  <c r="F5" i="52" l="1"/>
  <c r="C5" i="52"/>
  <c r="B11" i="18" l="1"/>
  <c r="A23" i="30" l="1"/>
  <c r="A22" i="30"/>
  <c r="D3" i="42" l="1"/>
  <c r="B21" i="39"/>
  <c r="B23" i="39"/>
  <c r="B24" i="39"/>
  <c r="B25" i="39"/>
  <c r="B26" i="39"/>
  <c r="B27" i="39"/>
  <c r="B29" i="39"/>
  <c r="B31" i="39"/>
  <c r="B32" i="39"/>
  <c r="B33" i="39"/>
  <c r="B34" i="39"/>
  <c r="B35" i="39"/>
  <c r="B12" i="39"/>
  <c r="B13" i="39"/>
  <c r="B14" i="39"/>
  <c r="B15" i="39"/>
  <c r="B16" i="39"/>
  <c r="G5" i="39"/>
  <c r="C5" i="39"/>
  <c r="M2" i="31"/>
  <c r="C2" i="31"/>
  <c r="E2" i="45"/>
  <c r="D5" i="32"/>
  <c r="B12" i="18"/>
  <c r="B13" i="18"/>
  <c r="B14" i="18"/>
  <c r="B15" i="18"/>
  <c r="B17" i="18"/>
  <c r="B19" i="18"/>
  <c r="B20" i="18"/>
  <c r="B21" i="18"/>
  <c r="B22" i="18"/>
  <c r="B23" i="18"/>
  <c r="B25" i="18"/>
  <c r="B27" i="18"/>
  <c r="B28" i="18"/>
  <c r="B29" i="18"/>
  <c r="B30" i="18"/>
  <c r="B31" i="18"/>
  <c r="B9" i="18"/>
  <c r="Q5" i="18"/>
  <c r="G5" i="18"/>
  <c r="B12" i="23" l="1"/>
  <c r="B13" i="23"/>
  <c r="B15" i="23"/>
  <c r="B17" i="23"/>
  <c r="B18" i="23"/>
  <c r="B19" i="23"/>
  <c r="B21" i="23"/>
  <c r="B23" i="23"/>
  <c r="B24" i="23"/>
  <c r="B25" i="23"/>
  <c r="B27" i="23"/>
  <c r="B29" i="23"/>
  <c r="B30" i="23"/>
  <c r="B31" i="23"/>
  <c r="B33" i="23"/>
  <c r="B35" i="23"/>
  <c r="B36" i="23"/>
  <c r="B37" i="23"/>
  <c r="B39" i="23"/>
  <c r="B41" i="23"/>
  <c r="B42" i="23"/>
  <c r="B43" i="23"/>
  <c r="B45" i="23"/>
  <c r="B47" i="23"/>
  <c r="B48" i="23"/>
  <c r="B49" i="23"/>
  <c r="B9" i="23"/>
  <c r="H5" i="23"/>
  <c r="B9" i="22"/>
  <c r="B6" i="12"/>
  <c r="A19" i="30"/>
  <c r="C5" i="12" l="1"/>
  <c r="A17" i="30"/>
  <c r="C11" i="32"/>
  <c r="B11" i="32"/>
  <c r="B12" i="32"/>
  <c r="B13" i="32"/>
  <c r="B14" i="32"/>
  <c r="B16" i="32"/>
  <c r="B18" i="32"/>
  <c r="B19" i="32"/>
  <c r="B20" i="32"/>
  <c r="B21" i="32"/>
  <c r="B22" i="32"/>
  <c r="B23" i="32"/>
  <c r="B24" i="32"/>
  <c r="B25" i="32"/>
  <c r="B26" i="32"/>
  <c r="B27" i="32"/>
  <c r="B28" i="32"/>
  <c r="B29" i="32"/>
  <c r="B30" i="32"/>
  <c r="B31" i="32"/>
  <c r="B32" i="32"/>
  <c r="B33" i="32"/>
  <c r="B35" i="32"/>
  <c r="B37" i="32"/>
  <c r="B38" i="32"/>
  <c r="B39" i="32"/>
  <c r="B40" i="32"/>
  <c r="B41" i="32"/>
  <c r="B42" i="32"/>
  <c r="B43" i="32"/>
  <c r="B44" i="32"/>
  <c r="B45" i="32"/>
  <c r="B46" i="32"/>
  <c r="B47" i="32"/>
  <c r="B48" i="32"/>
  <c r="B49" i="32"/>
  <c r="B50" i="32"/>
  <c r="B51" i="32"/>
  <c r="B52" i="32"/>
  <c r="B54" i="32"/>
  <c r="B56" i="32"/>
  <c r="B57" i="32"/>
  <c r="B58" i="32"/>
  <c r="L5" i="32"/>
  <c r="J29" i="30" l="1"/>
  <c r="J28" i="30"/>
  <c r="A16" i="30" l="1"/>
  <c r="A21" i="30"/>
  <c r="A20" i="30"/>
  <c r="E4" i="45" l="1"/>
  <c r="B4" i="44"/>
  <c r="F6" i="45"/>
  <c r="G6" i="45"/>
  <c r="H6" i="45"/>
  <c r="I6" i="45"/>
  <c r="J6" i="45"/>
  <c r="K6" i="45"/>
  <c r="L6" i="45"/>
  <c r="M6" i="45"/>
  <c r="N6" i="45"/>
  <c r="O6" i="45"/>
  <c r="P6" i="45"/>
  <c r="Q2" i="45"/>
  <c r="E8" i="45"/>
  <c r="E9" i="45"/>
  <c r="E10" i="45"/>
  <c r="E13" i="45"/>
  <c r="E15" i="45"/>
  <c r="E6" i="45"/>
  <c r="B7" i="45"/>
  <c r="B8" i="45"/>
  <c r="B9" i="45"/>
  <c r="B10" i="45"/>
  <c r="B11" i="45"/>
  <c r="B12" i="45"/>
  <c r="B13" i="45"/>
  <c r="B14" i="45"/>
  <c r="B15" i="45"/>
  <c r="B24" i="44"/>
  <c r="A9" i="30"/>
  <c r="B6" i="44"/>
  <c r="A15" i="30" l="1"/>
  <c r="A14" i="30"/>
  <c r="A13" i="30"/>
  <c r="B2" i="44"/>
  <c r="A12" i="30"/>
  <c r="H9" i="31" l="1"/>
  <c r="G9" i="31"/>
  <c r="F9" i="31"/>
  <c r="E9" i="31"/>
  <c r="D9" i="31"/>
  <c r="C9" i="31"/>
  <c r="C4" i="43"/>
  <c r="B2" i="43" l="1"/>
  <c r="Q2" i="43"/>
  <c r="B5" i="43" l="1"/>
  <c r="A27" i="30"/>
  <c r="A11" i="30"/>
  <c r="C8" i="30" l="1"/>
  <c r="G53" i="39" l="1"/>
  <c r="G52" i="39"/>
  <c r="G51" i="39"/>
  <c r="E50" i="39"/>
  <c r="D50" i="39"/>
  <c r="C50" i="39"/>
  <c r="G49" i="39"/>
  <c r="F48" i="39"/>
  <c r="G47" i="39"/>
  <c r="G46" i="39"/>
  <c r="G45" i="39"/>
  <c r="D44" i="39"/>
  <c r="D48" i="39" s="1"/>
  <c r="C44" i="39"/>
  <c r="C48" i="39" s="1"/>
  <c r="G43" i="39"/>
  <c r="G42" i="39"/>
  <c r="F41" i="39"/>
  <c r="F54" i="39" s="1"/>
  <c r="E41" i="39"/>
  <c r="D41" i="39" l="1"/>
  <c r="D54" i="39" s="1"/>
  <c r="G48" i="39"/>
  <c r="E54" i="39"/>
  <c r="G50" i="39"/>
  <c r="C41" i="39"/>
  <c r="C54" i="39" s="1"/>
  <c r="G44" i="39"/>
  <c r="G54" i="39" l="1"/>
  <c r="G41" i="39"/>
</calcChain>
</file>

<file path=xl/sharedStrings.xml><?xml version="1.0" encoding="utf-8"?>
<sst xmlns="http://schemas.openxmlformats.org/spreadsheetml/2006/main" count="823" uniqueCount="472">
  <si>
    <t>Чистая прибыль</t>
  </si>
  <si>
    <t>АКТИВЫ</t>
  </si>
  <si>
    <t>Денежные средства и их эквиваленты</t>
  </si>
  <si>
    <t>ИТОГО АКТИВЫ</t>
  </si>
  <si>
    <t>Долгосрочные обязательства</t>
  </si>
  <si>
    <t>Отложенные налоговые обязательства</t>
  </si>
  <si>
    <t>Итого долгосрочные обязательства</t>
  </si>
  <si>
    <t>Краткосрочные обязательства</t>
  </si>
  <si>
    <t>Итого краткосрочные обязательства</t>
  </si>
  <si>
    <t>Итого обязательства</t>
  </si>
  <si>
    <t>Итого собственный капитал и обязательства</t>
  </si>
  <si>
    <t>Выручка</t>
  </si>
  <si>
    <t>Операционная прибыль</t>
  </si>
  <si>
    <t>Финансовые доходы</t>
  </si>
  <si>
    <t>Финансовые расходы</t>
  </si>
  <si>
    <t>-</t>
  </si>
  <si>
    <t>Прибыль до налогообложения</t>
  </si>
  <si>
    <t>Прибыль на привилегированную акцию - базовая и разводненная (в руб.)</t>
  </si>
  <si>
    <t>г. Санкт-Петербург</t>
  </si>
  <si>
    <t>Ленинградская область</t>
  </si>
  <si>
    <t>ПС</t>
  </si>
  <si>
    <t>ТП</t>
  </si>
  <si>
    <t>ИТОГО</t>
  </si>
  <si>
    <t>Ед. изм.</t>
  </si>
  <si>
    <t>Общие потери, %</t>
  </si>
  <si>
    <t>МВА</t>
  </si>
  <si>
    <t xml:space="preserve">Ввод мощности МВА  </t>
  </si>
  <si>
    <t xml:space="preserve">Ввод мощности км  </t>
  </si>
  <si>
    <t>у.е.</t>
  </si>
  <si>
    <t>км</t>
  </si>
  <si>
    <t>шт</t>
  </si>
  <si>
    <t>Состав электрических сетей по оборудованию</t>
  </si>
  <si>
    <t>Состав электрических сетей по классу напряжения</t>
  </si>
  <si>
    <t>ir@lenenergo.ru</t>
  </si>
  <si>
    <t>* показатели не рассчитывались</t>
  </si>
  <si>
    <t>Консолидированный отчёт о прибылях и убытках (МСФО), тыс. руб.</t>
  </si>
  <si>
    <t>Консолидированный отчёт о финансовом положении (МСФО), тыс. руб.</t>
  </si>
  <si>
    <t>Выполнение инвестиционной программы в Ленинградской области</t>
  </si>
  <si>
    <t>Акции обыкновенные</t>
  </si>
  <si>
    <t>Акции привилегированные</t>
  </si>
  <si>
    <t>Итого</t>
  </si>
  <si>
    <t>1 квартал</t>
  </si>
  <si>
    <t>Минимум</t>
  </si>
  <si>
    <t>Максимум</t>
  </si>
  <si>
    <t>Закрытие</t>
  </si>
  <si>
    <t>2 квартал</t>
  </si>
  <si>
    <t xml:space="preserve">Максимум </t>
  </si>
  <si>
    <t>3 квартал</t>
  </si>
  <si>
    <t>4 квартал</t>
  </si>
  <si>
    <t>* информация представлена на последнюю дату каждого отчетного периода</t>
  </si>
  <si>
    <t xml:space="preserve">Тиккеры </t>
  </si>
  <si>
    <t xml:space="preserve">Обыкновенные акции </t>
  </si>
  <si>
    <t xml:space="preserve">LSNG </t>
  </si>
  <si>
    <t xml:space="preserve">Привилегированные акции </t>
  </si>
  <si>
    <t xml:space="preserve">LSNGP </t>
  </si>
  <si>
    <t>* Информация представлена на 31 декабря каждого года</t>
  </si>
  <si>
    <t>Номинальная стоимость каждой обыкновенной и привилегированной акции -1 рубль.</t>
  </si>
  <si>
    <t>Подконтрольные расходы</t>
  </si>
  <si>
    <t>Неподконтрольные расходы</t>
  </si>
  <si>
    <t>услуги ССО</t>
  </si>
  <si>
    <t>прочие неподконтрольные расходы</t>
  </si>
  <si>
    <t>Возврат капитала</t>
  </si>
  <si>
    <t>Доход на капитал</t>
  </si>
  <si>
    <t>Сглаживание</t>
  </si>
  <si>
    <t>Полезный отпуск электроэнергии</t>
  </si>
  <si>
    <t>коп/кВтч</t>
  </si>
  <si>
    <t>Прирост к предыдущему году</t>
  </si>
  <si>
    <t>%</t>
  </si>
  <si>
    <t>Величина инвестированного капитала на начало года (полная стоимость)</t>
  </si>
  <si>
    <t>Величина инвестированного капитала на начало года (остаточная стоимость)</t>
  </si>
  <si>
    <t>Норма доходности на инвестированный капитал ("старый")</t>
  </si>
  <si>
    <t>Норма доходности на инвестированный капитал ("новый")</t>
  </si>
  <si>
    <t>Величина ЧОК</t>
  </si>
  <si>
    <t>Норматив потерь электроэнергии</t>
  </si>
  <si>
    <t xml:space="preserve">* Данные приведены с учетом ретроспективной корректировки данных </t>
  </si>
  <si>
    <t>Прочие</t>
  </si>
  <si>
    <t xml:space="preserve">Источники финансирования инвестиционной программы </t>
  </si>
  <si>
    <t>Собственные источники</t>
  </si>
  <si>
    <t>Амортизация</t>
  </si>
  <si>
    <t xml:space="preserve">Чистая прибыль </t>
  </si>
  <si>
    <t>Прочие собственные средства</t>
  </si>
  <si>
    <t>Дополнительная эмиссия акций</t>
  </si>
  <si>
    <t>Расчеты имуществом</t>
  </si>
  <si>
    <t>Выпадающие доходы</t>
  </si>
  <si>
    <t xml:space="preserve">НДС </t>
  </si>
  <si>
    <t>Привлеченные средства</t>
  </si>
  <si>
    <t>Заемные средства (кредиты и займы)</t>
  </si>
  <si>
    <t>Авансы по  тех.присоединению</t>
  </si>
  <si>
    <t>Бюджетное финансирование</t>
  </si>
  <si>
    <t>ИТОГО финансирование, млн. руб. с НДС</t>
  </si>
  <si>
    <t> 11,06</t>
  </si>
  <si>
    <t> 11,13</t>
  </si>
  <si>
    <t> 10,94</t>
  </si>
  <si>
    <t>ИТОГО 
2016-2020</t>
  </si>
  <si>
    <t>плата ПАО «ФСК ЕЭС»</t>
  </si>
  <si>
    <t>Индекс эффективности подконтрольных расходов</t>
  </si>
  <si>
    <t>Московская биржа</t>
  </si>
  <si>
    <t>Итого оборотные активы</t>
  </si>
  <si>
    <t>Итого капитал, причитающийся собственникам Компании</t>
  </si>
  <si>
    <t>Кредиты и займы</t>
  </si>
  <si>
    <t>Собственникам Компании</t>
  </si>
  <si>
    <t>Держателям неконтролирующих долей</t>
  </si>
  <si>
    <t>Итого внеоборотные активы</t>
  </si>
  <si>
    <t>КАПИТАЛ И ОБЯЗАТЕЛЬСТВА</t>
  </si>
  <si>
    <t>Итого капитал</t>
  </si>
  <si>
    <t>MW</t>
  </si>
  <si>
    <t>megawatt</t>
  </si>
  <si>
    <t>million kilowatt-hours</t>
  </si>
  <si>
    <t>MVA</t>
  </si>
  <si>
    <t>megavolt-amper</t>
  </si>
  <si>
    <t>МВт</t>
  </si>
  <si>
    <t>мегаватт</t>
  </si>
  <si>
    <t>миллион киловатт-часов</t>
  </si>
  <si>
    <t>мегавольт-ампер</t>
  </si>
  <si>
    <t>Аббревиатуры</t>
  </si>
  <si>
    <t>Abbreviation</t>
  </si>
  <si>
    <t>Units</t>
  </si>
  <si>
    <t>Наименование показателя</t>
  </si>
  <si>
    <t>2013Ф</t>
  </si>
  <si>
    <t>2014Ф</t>
  </si>
  <si>
    <t>2015Ф</t>
  </si>
  <si>
    <t>2016Ф</t>
  </si>
  <si>
    <t>2023П</t>
  </si>
  <si>
    <t>2024П</t>
  </si>
  <si>
    <t>Общие показатели</t>
  </si>
  <si>
    <t>ВВП</t>
  </si>
  <si>
    <t>% г-к-г</t>
  </si>
  <si>
    <t>Цены на электро-/теплоэнергию</t>
  </si>
  <si>
    <t>Цены на электроэнергию для всех категорий потребителей</t>
  </si>
  <si>
    <t>Цены на электроэнергию для промышленных потребителей</t>
  </si>
  <si>
    <t>Регулируемые тарифы сетевых организаций</t>
  </si>
  <si>
    <t>7.5</t>
  </si>
  <si>
    <t>Дата индексации</t>
  </si>
  <si>
    <t>число/месяц</t>
  </si>
  <si>
    <t>Размер индексации</t>
  </si>
  <si>
    <t>Регулируемые тарифы на тепло</t>
  </si>
  <si>
    <t>Indicator</t>
  </si>
  <si>
    <t>Unit</t>
  </si>
  <si>
    <t>2013А</t>
  </si>
  <si>
    <t>2014A</t>
  </si>
  <si>
    <t>2015А</t>
  </si>
  <si>
    <t>2023F</t>
  </si>
  <si>
    <t>2024F</t>
  </si>
  <si>
    <t>General indicators</t>
  </si>
  <si>
    <t>GDP</t>
  </si>
  <si>
    <t>YoY %</t>
  </si>
  <si>
    <t>CPI</t>
  </si>
  <si>
    <t>Electricity/Heat prices</t>
  </si>
  <si>
    <t>Electricity prices for all categories of consumers</t>
  </si>
  <si>
    <t>Electricity prices for industrial consumers</t>
  </si>
  <si>
    <t xml:space="preserve">Regulated transmission tarriffs </t>
  </si>
  <si>
    <t>Indexation date</t>
  </si>
  <si>
    <t>date/month</t>
  </si>
  <si>
    <t>Indexation rate</t>
  </si>
  <si>
    <t>Regulated heat tariffs</t>
  </si>
  <si>
    <t>* In order to modernize railway infrastructure from 2017 till 2025 an additional 2% surcharge is set to the forecasted level</t>
  </si>
  <si>
    <t>**Since 1 January 2019 electricity tariffs for households will be calculated taking into account VAT of 20%</t>
  </si>
  <si>
    <t>* В целях проведения капитального ремонта железнодорожной инфраструктуры с 2017 по 2025 год предусмотрена дополнительная надбавка в размере 2%  сверх указанного уровня</t>
  </si>
  <si>
    <t>**С 1 января 2019 тарифы для населения будут расчитаны исходя из ставки НДС в 20%</t>
  </si>
  <si>
    <t>Quotation Lists</t>
  </si>
  <si>
    <t>Moscow Exchange</t>
  </si>
  <si>
    <t>Tickers</t>
  </si>
  <si>
    <t>Ordinary shares</t>
  </si>
  <si>
    <t>Minimum</t>
  </si>
  <si>
    <t>Maximum</t>
  </si>
  <si>
    <t>Closing</t>
  </si>
  <si>
    <t>Total</t>
  </si>
  <si>
    <t>** the calculation was made on the basis of the weighted cost of the shares on the last trading day of the reporting period</t>
  </si>
  <si>
    <t>Preferred shares</t>
  </si>
  <si>
    <t>1Q</t>
  </si>
  <si>
    <t>2Q</t>
  </si>
  <si>
    <t>3Q</t>
  </si>
  <si>
    <t>4Q</t>
  </si>
  <si>
    <t>Composition of electrical networks for equipment</t>
  </si>
  <si>
    <t>TP</t>
  </si>
  <si>
    <t>Composition of electrical networks by voltage class</t>
  </si>
  <si>
    <t>Unit rev.</t>
  </si>
  <si>
    <t>MBA</t>
  </si>
  <si>
    <t>km</t>
  </si>
  <si>
    <t>PC</t>
  </si>
  <si>
    <t>cu</t>
  </si>
  <si>
    <t xml:space="preserve"> * Без учета ДГУ, СДТУ</t>
  </si>
  <si>
    <t> * Excluding DGS, SDTU</t>
  </si>
  <si>
    <t>St. Petersburg</t>
  </si>
  <si>
    <t>Leningrad region</t>
  </si>
  <si>
    <t>Total losses,%</t>
  </si>
  <si>
    <t>* indicators were not calculated</t>
  </si>
  <si>
    <t>Implementation of the investment program in St. Petersburg</t>
  </si>
  <si>
    <t>MBA power input</t>
  </si>
  <si>
    <t>Capacity input km</t>
  </si>
  <si>
    <t>Implementation of the investment program in the Leningrad region</t>
  </si>
  <si>
    <t>Справочно</t>
  </si>
  <si>
    <t>Controllable expenses</t>
  </si>
  <si>
    <t>lost income</t>
  </si>
  <si>
    <t>Capital return</t>
  </si>
  <si>
    <t>Return on equity</t>
  </si>
  <si>
    <t>Smoothing</t>
  </si>
  <si>
    <t>Useful electricity supply</t>
  </si>
  <si>
    <t>Gain to the previous year</t>
  </si>
  <si>
    <t>The amount of capital invested at the beginning of the year (full value)</t>
  </si>
  <si>
    <t>The amount of capital invested at the beginning of the year (residual value)</t>
  </si>
  <si>
    <t>Rate of return on invested capital ("old")</t>
  </si>
  <si>
    <t>Rate of return on invested capital ("new")</t>
  </si>
  <si>
    <t>Cost-Effectiveness Index</t>
  </si>
  <si>
    <t>The ratio of power losses</t>
  </si>
  <si>
    <t>kop / kWh</t>
  </si>
  <si>
    <t>mln. kWh</t>
  </si>
  <si>
    <t>payments to PJSC FGC UES</t>
  </si>
  <si>
    <t>Notes</t>
  </si>
  <si>
    <t>ЧОК</t>
  </si>
  <si>
    <t>NWC</t>
  </si>
  <si>
    <t>Amount of NWC</t>
  </si>
  <si>
    <t>mln kWh</t>
  </si>
  <si>
    <t>Язык / Language</t>
  </si>
  <si>
    <t>Network supply, mln KWh</t>
  </si>
  <si>
    <t>Total losses, mln kWh</t>
  </si>
  <si>
    <t>Effective supply, mln KWh</t>
  </si>
  <si>
    <t>Network losses, mln KWh</t>
  </si>
  <si>
    <t xml:space="preserve">Освоение, млн руб. без НДС  </t>
  </si>
  <si>
    <t xml:space="preserve">Ввод ОФ, млн руб.  </t>
  </si>
  <si>
    <t xml:space="preserve">Финансирование, млн руб. с НДС  </t>
  </si>
  <si>
    <t xml:space="preserve">Капитальные вложения, млн руб. без НДС  </t>
  </si>
  <si>
    <t>Capital investments, mln rub. without VAT</t>
  </si>
  <si>
    <t>Non-controlled expenses</t>
  </si>
  <si>
    <t>other non-controlled expenses</t>
  </si>
  <si>
    <t>Стоимость компании к EBITDA</t>
  </si>
  <si>
    <t>EBITDA</t>
  </si>
  <si>
    <t>EV/EBITDA</t>
  </si>
  <si>
    <t>EV/S</t>
  </si>
  <si>
    <t>Цена акции к базовой прибыли на акцию</t>
  </si>
  <si>
    <t>P/E</t>
  </si>
  <si>
    <t>Капитализация к выручке</t>
  </si>
  <si>
    <t>P/S</t>
  </si>
  <si>
    <t>Капитализация к балансовой стоимости</t>
  </si>
  <si>
    <t>P/B</t>
  </si>
  <si>
    <t xml:space="preserve">Капитализация, млн руб.  </t>
  </si>
  <si>
    <t xml:space="preserve">Чистый долг, млн руб.  </t>
  </si>
  <si>
    <t xml:space="preserve">Выручка, млн руб.  </t>
  </si>
  <si>
    <t xml:space="preserve">Цена акции, руб.  </t>
  </si>
  <si>
    <t xml:space="preserve">Базовая прибыль на акцию, руб.  </t>
  </si>
  <si>
    <t xml:space="preserve">Балансовая стоимость, млн руб.  </t>
  </si>
  <si>
    <t>% changes against the same time period last year</t>
  </si>
  <si>
    <t>изменения в %, сравниваемые с прошлым годом</t>
  </si>
  <si>
    <t>руб.</t>
  </si>
  <si>
    <t>российский рубль</t>
  </si>
  <si>
    <t>rub</t>
  </si>
  <si>
    <t>russian ruble</t>
  </si>
  <si>
    <t>млн руб.</t>
  </si>
  <si>
    <t>миллион российских рублей</t>
  </si>
  <si>
    <t>million russian rubles</t>
  </si>
  <si>
    <t>EV</t>
  </si>
  <si>
    <t xml:space="preserve">EV, млн руб.  </t>
  </si>
  <si>
    <t>mln rub</t>
  </si>
  <si>
    <t>EPS</t>
  </si>
  <si>
    <t>прибыль на акцию</t>
  </si>
  <si>
    <t>прибыль до вычета процентов, налогов и амортизации</t>
  </si>
  <si>
    <t>earnings per share</t>
  </si>
  <si>
    <t>условные единицы</t>
  </si>
  <si>
    <t>штук</t>
  </si>
  <si>
    <t>километр</t>
  </si>
  <si>
    <t>kilometer</t>
  </si>
  <si>
    <t>pieces</t>
  </si>
  <si>
    <t>conventional units</t>
  </si>
  <si>
    <t>Установленная мощность</t>
  </si>
  <si>
    <t>Installed Power</t>
  </si>
  <si>
    <t>DGS</t>
  </si>
  <si>
    <t>SDTU</t>
  </si>
  <si>
    <t>diesel generator sets</t>
  </si>
  <si>
    <t>means of dispatching and technological management</t>
  </si>
  <si>
    <t>ДГУ</t>
  </si>
  <si>
    <t>СДТУ</t>
  </si>
  <si>
    <t>дизель-генераторные установки</t>
  </si>
  <si>
    <t>средства диспетчерского и технологического управления</t>
  </si>
  <si>
    <t>кВт</t>
  </si>
  <si>
    <t>киловатт</t>
  </si>
  <si>
    <t>kW</t>
  </si>
  <si>
    <t>kilowatt</t>
  </si>
  <si>
    <t>kilowatt-hour</t>
  </si>
  <si>
    <t>kWh</t>
  </si>
  <si>
    <t>кВтч</t>
  </si>
  <si>
    <t>киловатт-час</t>
  </si>
  <si>
    <t>VAT</t>
  </si>
  <si>
    <t>НДС</t>
  </si>
  <si>
    <t>Отпуск в сеть, млн кВтч</t>
  </si>
  <si>
    <t>Отпуск из сети, млн кВтч</t>
  </si>
  <si>
    <t>Полезный отпуск, млн кВтч</t>
  </si>
  <si>
    <t>Общие потери, млн кВтч</t>
  </si>
  <si>
    <t>млн кВтч</t>
  </si>
  <si>
    <t>TS</t>
  </si>
  <si>
    <t>SS</t>
  </si>
  <si>
    <t>substation</t>
  </si>
  <si>
    <t>Input FA, mln rub</t>
  </si>
  <si>
    <t>Financing, mln rub VAT included</t>
  </si>
  <si>
    <t>Capital investments, mln rub without VAT</t>
  </si>
  <si>
    <t>ИПЦ</t>
  </si>
  <si>
    <t>ИПП</t>
  </si>
  <si>
    <t>IPI</t>
  </si>
  <si>
    <t>transformer substation</t>
  </si>
  <si>
    <t>value-added tax</t>
  </si>
  <si>
    <t>сonsumer price index</t>
  </si>
  <si>
    <t>industrial production index</t>
  </si>
  <si>
    <t>net working capital</t>
  </si>
  <si>
    <t>enterprise value</t>
  </si>
  <si>
    <t>Disbursement, mln rub without VAT</t>
  </si>
  <si>
    <t>MVA power input</t>
  </si>
  <si>
    <t>FA</t>
  </si>
  <si>
    <t>ОФ</t>
  </si>
  <si>
    <t>fixed assets</t>
  </si>
  <si>
    <t>индекс потребительских цен</t>
  </si>
  <si>
    <t>индекс промышленного производства</t>
  </si>
  <si>
    <t>чистый оборотный капитал</t>
  </si>
  <si>
    <t>подстанция</t>
  </si>
  <si>
    <t>трансформаторные подстанции</t>
  </si>
  <si>
    <t>налог на добавленную стоимость</t>
  </si>
  <si>
    <t>стомость предприятия</t>
  </si>
  <si>
    <t>основные фонды</t>
  </si>
  <si>
    <t>валовой внутренний продукт</t>
  </si>
  <si>
    <t>НВВ</t>
  </si>
  <si>
    <t>ССО</t>
  </si>
  <si>
    <t>ТБР</t>
  </si>
  <si>
    <t>тыс. руб.</t>
  </si>
  <si>
    <t>тысяча российских рублей</t>
  </si>
  <si>
    <t>thousand rubles</t>
  </si>
  <si>
    <t>thsd rub</t>
  </si>
  <si>
    <t>Итого НВВ</t>
  </si>
  <si>
    <t>required gross revenue</t>
  </si>
  <si>
    <t>RGR</t>
  </si>
  <si>
    <t>Total RGR</t>
  </si>
  <si>
    <t>необходимая валовая выручка</t>
  </si>
  <si>
    <t>сторонняя сетевая организация</t>
  </si>
  <si>
    <t>third-party network organization</t>
  </si>
  <si>
    <t>тарифно-балансовое решение</t>
  </si>
  <si>
    <t>tariff and balance decision</t>
  </si>
  <si>
    <t>TBD</t>
  </si>
  <si>
    <t>TPNO</t>
  </si>
  <si>
    <t>TPNO services</t>
  </si>
  <si>
    <t>2017Ф</t>
  </si>
  <si>
    <t>2018Ф</t>
  </si>
  <si>
    <t>2016A</t>
  </si>
  <si>
    <t>2017A</t>
  </si>
  <si>
    <t>2018A</t>
  </si>
  <si>
    <t>Источник: Министерство экономического развития РФ ;  Федеральная служба государственной статистики.</t>
  </si>
  <si>
    <t>Source: Ministry of Economic Development of the Russian Federation; Federal State Statistics Service.</t>
  </si>
  <si>
    <t>Причитающаяся:</t>
  </si>
  <si>
    <t>2019Ф</t>
  </si>
  <si>
    <t>Справочно: Казначейские акции</t>
  </si>
  <si>
    <t>57 825 152</t>
  </si>
  <si>
    <t>6 мес. 2020</t>
  </si>
  <si>
    <t>6M2020</t>
  </si>
  <si>
    <t>Notes: Treasury securities</t>
  </si>
  <si>
    <t>Потери в сетях ПАО "Россети Ленэнерго", млн кВтч</t>
  </si>
  <si>
    <t>Потери в сетях ПАО "Россети Ленэнерго",%</t>
  </si>
  <si>
    <t xml:space="preserve">          Сведения, содержащиеся в данном документе, подготовлены Публичным акционерным обществом  «Россети Ленэнерго» (здесь и далее - Общество или ПАО «Россети Ленэнерго»). Мнения, представленные в данном документе, основываются на общей информации, собранной в момент его написания, и могут быть изменены без уведомления. Информация была получена из источников, которые ПАО «Россети Ленэнерго» считает надежными, но точность или полнота информации ПАО  «Россети Ленэнерго» не гарантируется. Данные материалы предоставляются Обществом любому лицу, читающему настоящий документ (здесь и далее - Получатель), исключительно в информационных целях. Получая доступ к настоящему документу, вы добровольно соглашаетесь соблюдать условия настоящего уведомления. Если вы не согласны с информацией, указанной в настоящем уведомлении, не открывайте данный документ в целом или любую из страниц данного документа.
          Информация, содержащаяся в данном документе, представлена на принципах «как есть» и «как доступна» и, следовательно, вы несете риски, связанные с использованием данной информации или с доверием к ней. Получатель не должен полагаться на информацию, содержащуюся в данном документе, а также на ее полноту, точность или объективность, при использовании в любых целях. Информация, содержащаяся в данном документе, подлежит проверке на подлинность, полноту и изменения. ПАО  «Россети Ленэнерго» не проводила проверку подлинности содержания данных материалов. Соответственно, Общество, его дочерние компании, акционеры, директора, руководители, сотрудники или любые иные лица не предоставляют никаких явных или подразумеваемых заверений и гарантий относительно точности, полноты или объективности информации или мнений, содержащихся в данных материалах. ПАО  «Россети Ленэнерго», ее дочерние компании, акционеры, директора, руководители, сотрудники или любые иные лица не принимают на себя никакой ответственности любого рода по любым убыткам любой природы, связанных с использованием данных материалов или их содержания или возникших  любым другим образом в связи данными материалами.
          В данных материалах содержатся высказывания о будущих событиях и ожиданиях, которые являются прогнозными высказываниями. Любые высказывания в данных материалах, которые не являются утверждением уже случившихся фактов, являются прогнозами и содержат известные и неизвестные риски, неопределенности и другие факторы, которые могут привести к тому, что фактические результаты, эффективность деятельности или достижения будут существенно отличаться от любых прогнозируемых результатов, эффективности деятельности или достижений, указанных или подразумеваемых в таких прогнозных высказываниях. Мы не берем не себя никаких обязательств относительно пересмотра прогнозных высказываний, содержащихся в данном документе, для отражения фактических результатов, изменений в допущениях или факторах, влияющих на данные прогнозы. Результаты или эффективность деятельности в прошлом не могут служить показателем будущих результатов или эффективности.</t>
  </si>
  <si>
    <t xml:space="preserve">          The information contained herein has been prepared by «Rosseti Lenenergo», PJSC (the «Company»). The opinions presented herein are based on general information gathered at the time of writing and are subject to change without notice. The Company relies on information obtained from sources believed to be reliable but does not guarantee its accuracy or completeness. These materials are furnished to any person reading this document (the «Recipient») for information purposes only. By accessing this document you agree to be bound by the terms and conditions in this notice as a matter of your own free will. If you do not agree to or with the information provided in this notice, do not access this document or any of its pages thereof.
          The information contained herein is provided «as is» and «as available» and therefore you bear risk associated with your use of or reliance on such information. No reliance may be placed for any purposes whatsoever on the information contained in these materials or on their completeness, accuracy or fairness. The information in these materials is subject to verification, completion and change. The contents of these materials have not been verified by the Company. Accordingly, no representation or warranty, express or implied  is made or given by on behalf of the Company or any of its subsidiaries, shareholders, directors, officers or employees or any other person as to the accuracy, completeness of fairness of the information or opinions contained  in these materials. None of the Company nor any of its subsidiaries, shareholders, directors, officers or employees or any other person accepts any liability whatsoever for any loss howsoever arising from any use of these materials or their contents or otherwise arising in connection therewith.
          These materials contain statements about future events and expectations that are forward-looking statements. Any statements in these materials that is not a statement of historical fact is a forward-looking statement that involves known and unknown risks, uncertainties and other factors which may cause our actual results, performance or achievements to be materially different from any future results, performance or achievements expressed or implied by such forward-looking statements. We assume no obligations to update the forward-looking statements contained herein to reflect actual results, changes in assumptions or changes in factors affecting these statements. Past results or performance are not indicative of any future results or performance.
          </t>
  </si>
  <si>
    <t>Network losses of «Rosseti Lenenergo», PJSC, mln kWh</t>
  </si>
  <si>
    <t>Network losses of «Rosseti Lenenergo», PJSC, %</t>
  </si>
  <si>
    <t>Внеоборотные активы</t>
  </si>
  <si>
    <t>Оборотные активы</t>
  </si>
  <si>
    <t>Выполнение инвестиционной программы ПАО «Россети Ленэнерго»</t>
  </si>
  <si>
    <t>Implementation of the investment program of "Rosseti Lenenergo", PJSC</t>
  </si>
  <si>
    <t>Основные параметры долгосрочной Инвестиционной Программы ПАО «Россети Ленэнерго»</t>
  </si>
  <si>
    <t>Key parameters of the long-term Investment Program of «Rosseti Lenenergo», PJSC</t>
  </si>
  <si>
    <t xml:space="preserve">Ввод мощности, МВА  </t>
  </si>
  <si>
    <t xml:space="preserve">Ввод линий электропередач, км  </t>
  </si>
  <si>
    <t>Финансирование по регионам</t>
  </si>
  <si>
    <t>Financing by region</t>
  </si>
  <si>
    <t>Input of power lines, km</t>
  </si>
  <si>
    <t>2019A</t>
  </si>
  <si>
    <t>2020A</t>
  </si>
  <si>
    <t>2020Ф</t>
  </si>
  <si>
    <t>** расчет произведен на основе срешневзвешенной стоимости акций на последний торговый день отчетного периода</t>
  </si>
  <si>
    <t>* information is provided on the last date of each reporting period.</t>
  </si>
  <si>
    <t>earnings before interest, taxes, depreciation, and amortization</t>
  </si>
  <si>
    <t>gross domestic product</t>
  </si>
  <si>
    <t>2020*</t>
  </si>
  <si>
    <t>Среднеотпускной тариф на передачу э/э**</t>
  </si>
  <si>
    <t>Average sale tariff for electricity transmission**</t>
  </si>
  <si>
    <t>** по Ленинградской области с учетом потребителей, опосредованно присоединенных к электрическим сетям сетевой организации через энергетические установки производителей электрической энергии</t>
  </si>
  <si>
    <t>** in the Leningrad region, incl. consumers indirectly connected to the electrical networks of the grid organization through power plants of electric energy producers</t>
  </si>
  <si>
    <t>* с учетом пересмотра долгосрочных параметров регулирования в результате консолидации ДЗО</t>
  </si>
  <si>
    <t>* taking into account the revision of long-term regulatory parameters as a result of the consolidation of subsidiaries and affiliates</t>
  </si>
  <si>
    <t>Регулируемые тарифы на электроэнергию для населения*</t>
  </si>
  <si>
    <t>Regulated electricity tariffs for households*</t>
  </si>
  <si>
    <t>* С 1 января 2019 года тарифы для населения рассчитаны исходя из ставки НДС в 20%</t>
  </si>
  <si>
    <t>* Since January 1, 2019, tariffs for the population are calculated based on 20% VAT</t>
  </si>
  <si>
    <t>* Данные приведены с учетом ретроспективной корректировки данных 
** С 2018 года показатель EBITDA рассчитывается в отчетности в разделе "Информация по сегментам"</t>
  </si>
  <si>
    <t>57 825 152**</t>
  </si>
  <si>
    <t>210**</t>
  </si>
  <si>
    <t>** Казначейские акции были реализованы 21.06.2021 в пользу ООО "Энерготранс"</t>
  </si>
  <si>
    <t>2021Ф</t>
  </si>
  <si>
    <t>2021A</t>
  </si>
  <si>
    <t xml:space="preserve">Структура акционерного капитала, % от УК </t>
  </si>
  <si>
    <t>ПАО "Россети Ленэнерго"</t>
  </si>
  <si>
    <t>"Rosseti Lenenergo", PJSC</t>
  </si>
  <si>
    <t>«Rosseti Lenenergo», PJSC</t>
  </si>
  <si>
    <t>Краткосрочные кредиты и займы</t>
  </si>
  <si>
    <t xml:space="preserve">Выполнение инвестиционной программы в Санкт-Петербурге  </t>
  </si>
  <si>
    <t>Санкт-Петербург</t>
  </si>
  <si>
    <t>Котировки обыкновенных акций ПАО «Россети Ленэнерго» на ПАО Московская биржа, руб.*</t>
  </si>
  <si>
    <t>Котировки привилегированных акций ПАО «Россети Ленэнерго» на ПАО Московская биржа, руб.*</t>
  </si>
  <si>
    <t>Капитализация ПАО «Россети Ленэнерго» на ПАО Московская биржа, млн руб.**</t>
  </si>
  <si>
    <t>Quotes of ordinary shares of «Rosseti Lenenergo», PJSC on the Moscow Exchange, rub*</t>
  </si>
  <si>
    <t>Capitalization of «Rosseti Lenenergo», PJSC on the Moscow Exchange, mln rub**</t>
  </si>
  <si>
    <t>Quotations of preferred shares of «Rosseti Lenenergo», PJSC on the Moscow Exchange, rub*</t>
  </si>
  <si>
    <t>Воздушные линии 0,4-10 кВ, по трассе</t>
  </si>
  <si>
    <t>Воздушные линии ВЛ 35-110 кВ, по трассе</t>
  </si>
  <si>
    <t>110 кВ</t>
  </si>
  <si>
    <t>35 кВ</t>
  </si>
  <si>
    <t>1-20 кВ</t>
  </si>
  <si>
    <t>до 1 кВ</t>
  </si>
  <si>
    <t>Кабельные линии 0,4-110 кВ</t>
  </si>
  <si>
    <t>Воздушные линии 0,4-110 кВ, по трассе</t>
  </si>
  <si>
    <t>Воздушные линии 0,4-110 кВ, по цепям</t>
  </si>
  <si>
    <t xml:space="preserve">Кабельные линии 0,4-110 кВ </t>
  </si>
  <si>
    <t>ПС 35-110 кВ</t>
  </si>
  <si>
    <t>ТП 6-35 кВ</t>
  </si>
  <si>
    <t>0.4-110 kV overhead lines on the highway</t>
  </si>
  <si>
    <t>0.4-110 kV overhead lines, by chains</t>
  </si>
  <si>
    <t xml:space="preserve">0.4-110 kV cable lines </t>
  </si>
  <si>
    <t>SS 35-110 kV</t>
  </si>
  <si>
    <t>TS 6-35 kV</t>
  </si>
  <si>
    <t>35-110 kV overhead lines on the highway</t>
  </si>
  <si>
    <t>110 kV</t>
  </si>
  <si>
    <t>35 kV</t>
  </si>
  <si>
    <t>1-20 kV</t>
  </si>
  <si>
    <t>up to 1 kV</t>
  </si>
  <si>
    <t xml:space="preserve">у.е. </t>
  </si>
  <si>
    <t>ИТОГО*</t>
  </si>
  <si>
    <t>TOTAL*</t>
  </si>
  <si>
    <t>Основные характеристики активов "Россети Ленэнерго"</t>
  </si>
  <si>
    <t>The main operational indicators of «Rosseti Lenenergo»</t>
  </si>
  <si>
    <t>х</t>
  </si>
  <si>
    <t>Уровень качества реализуемых товаров и услуг</t>
  </si>
  <si>
    <t>Уровень надежности реализуемых услуг</t>
  </si>
  <si>
    <t>The level of reliability of services sold</t>
  </si>
  <si>
    <t>The quality level of goods and services sold</t>
  </si>
  <si>
    <t>Показатель средней продолжительности прекращения передачи электрической энергии на точку поставки</t>
  </si>
  <si>
    <t>час</t>
  </si>
  <si>
    <t>Показатель средней частоты прекращения передачи электрической энергии на точку поставки</t>
  </si>
  <si>
    <t>The indicator of the average duration of the interruption of the transmission of electrical energy to the point of delivery</t>
  </si>
  <si>
    <t>The indicator of the average frequency of interruption of the transmission of electrical energy to the point of delivery</t>
  </si>
  <si>
    <t>шт.</t>
  </si>
  <si>
    <t>2021*</t>
  </si>
  <si>
    <t>2022*</t>
  </si>
  <si>
    <t>2023*</t>
  </si>
  <si>
    <t>2024*</t>
  </si>
  <si>
    <t>2025*</t>
  </si>
  <si>
    <t>Уровень списка</t>
  </si>
  <si>
    <t>Русский</t>
  </si>
  <si>
    <t xml:space="preserve">потери в сетях ПАО «Россети Ленэнерго» </t>
  </si>
  <si>
    <t>network losses of Rosseti Lenenergo</t>
  </si>
  <si>
    <t>2025П</t>
  </si>
  <si>
    <t>8 (812) 494 39 06</t>
  </si>
  <si>
    <t>2022Ф</t>
  </si>
  <si>
    <t>2022А</t>
  </si>
  <si>
    <t>2025А</t>
  </si>
  <si>
    <t>Корректировки по факту деятельности</t>
  </si>
  <si>
    <t>выпадающие доходы (льготное ТП, досудебные споры)</t>
  </si>
  <si>
    <t>Adjustments based on the fact of activity</t>
  </si>
  <si>
    <t>2021**</t>
  </si>
  <si>
    <t>Структура НВВ с учетом тарифно-балансовых решений на 2018-2022 гг.</t>
  </si>
  <si>
    <t>The structure of the RGR taking into account the tariff-balance decisions for the years 2018-2022</t>
  </si>
  <si>
    <t>The nominal value of each ordinary and preferred share is 1 ruble.</t>
  </si>
  <si>
    <t>* Information provided as of December 31 of each year</t>
  </si>
  <si>
    <t>** Treasury shares were sold on June 21, 2021 in favor of Energotrans LLC</t>
  </si>
  <si>
    <t>Shareholding structure, % of charter capital</t>
  </si>
  <si>
    <t>Неконтролируемая доля участия</t>
  </si>
  <si>
    <t>* Data are subject to retrospective data adjustment</t>
  </si>
  <si>
    <t>Consolidated income statement (IFRS), thousand rubles</t>
  </si>
  <si>
    <t>Consolidated statement of financial position (IFRS), thousand rubles</t>
  </si>
  <si>
    <t>* Data are presented subject to retrospective data adjustment                                                       ** Since 2018, EBITDA is calculated in the report in the "Information by segments" section</t>
  </si>
  <si>
    <t xml:space="preserve">Стоимость компании к выручке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</si>
</sst>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_-;\-* #,##0.00\ _₽_-;_-* &quot;-&quot;??\ _₽_-;_-@_-"/>
    <numFmt numFmtId="165" formatCode="_-* #,##0.00_р_._-;\-* #,##0.00_р_._-;_-* &quot;-&quot;??_р_._-;_-@_-"/>
    <numFmt numFmtId="166" formatCode="#,##0.0"/>
    <numFmt numFmtId="167" formatCode="_-* #,##0_р_._-;\-* #,##0_р_._-;_-* &quot;-&quot;??_р_._-;_-@_-"/>
    <numFmt numFmtId="168" formatCode="#,##0;\(#,##0\);\-"/>
    <numFmt numFmtId="169" formatCode="0.0%"/>
    <numFmt numFmtId="170" formatCode="#,##0.000000"/>
    <numFmt numFmtId="171" formatCode="#,##0.0000"/>
    <numFmt numFmtId="172" formatCode="#,##0.00;\(#,##0.00\);\-"/>
    <numFmt numFmtId="173" formatCode="0.0"/>
    <numFmt numFmtId="174" formatCode="0.0000"/>
    <numFmt numFmtId="175" formatCode="0.0000%"/>
  </numFmts>
  <fonts count="77"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u/>
      <sz val="10"/>
      <color indexed="12"/>
      <name val="Arial Cyr"/>
      <charset val="204"/>
    </font>
    <font>
      <sz val="10"/>
      <name val="Arial Cyr"/>
      <charset val="204"/>
    </font>
    <font>
      <sz val="10"/>
      <name val="Arial"/>
      <family val="2"/>
      <charset val="204"/>
    </font>
    <font>
      <sz val="16"/>
      <name val="Arial Cyr"/>
      <charset val="204"/>
    </font>
    <font>
      <u/>
      <sz val="16"/>
      <name val="Arial Cyr"/>
      <charset val="204"/>
    </font>
    <font>
      <sz val="10"/>
      <name val="Calibri"/>
      <family val="2"/>
      <charset val="204"/>
      <scheme val="minor"/>
    </font>
    <font>
      <b/>
      <sz val="10"/>
      <name val="Calibri"/>
      <family val="2"/>
      <charset val="204"/>
      <scheme val="minor"/>
    </font>
    <font>
      <sz val="10"/>
      <color rgb="FF000000"/>
      <name val="Calibri"/>
      <family val="2"/>
      <charset val="204"/>
      <scheme val="minor"/>
    </font>
    <font>
      <b/>
      <sz val="10"/>
      <color rgb="FF000000"/>
      <name val="Calibri"/>
      <family val="2"/>
      <charset val="204"/>
      <scheme val="minor"/>
    </font>
    <font>
      <i/>
      <sz val="10"/>
      <name val="Calibri"/>
      <family val="2"/>
      <charset val="204"/>
      <scheme val="minor"/>
    </font>
    <font>
      <b/>
      <sz val="18"/>
      <name val="Calibri"/>
      <family val="2"/>
      <charset val="204"/>
      <scheme val="minor"/>
    </font>
    <font>
      <sz val="10"/>
      <color theme="1"/>
      <name val="Calibri"/>
      <family val="2"/>
      <charset val="204"/>
      <scheme val="minor"/>
    </font>
    <font>
      <sz val="48"/>
      <color theme="3"/>
      <name val="Calibri"/>
      <family val="2"/>
      <charset val="204"/>
      <scheme val="minor"/>
    </font>
    <font>
      <sz val="10"/>
      <color theme="3"/>
      <name val="Arial Cyr"/>
      <charset val="204"/>
    </font>
    <font>
      <b/>
      <sz val="10"/>
      <color theme="3"/>
      <name val="Calibri"/>
      <family val="2"/>
      <charset val="204"/>
      <scheme val="minor"/>
    </font>
    <font>
      <sz val="10"/>
      <name val="Courier"/>
      <family val="3"/>
    </font>
    <font>
      <b/>
      <i/>
      <sz val="10"/>
      <name val="Calibri"/>
      <family val="2"/>
      <charset val="204"/>
      <scheme val="minor"/>
    </font>
    <font>
      <b/>
      <sz val="10"/>
      <name val="Arial Cyr"/>
      <charset val="204"/>
    </font>
    <font>
      <b/>
      <sz val="10"/>
      <color theme="1"/>
      <name val="Calibri"/>
      <family val="2"/>
      <charset val="204"/>
      <scheme val="minor"/>
    </font>
    <font>
      <sz val="9"/>
      <color theme="1"/>
      <name val="Calibri"/>
      <family val="2"/>
      <charset val="204"/>
      <scheme val="minor"/>
    </font>
    <font>
      <sz val="12"/>
      <color theme="1"/>
      <name val="Calibri"/>
      <family val="2"/>
      <charset val="204"/>
      <scheme val="minor"/>
    </font>
    <font>
      <sz val="11"/>
      <name val="Calibri"/>
      <family val="2"/>
      <charset val="204"/>
      <scheme val="minor"/>
    </font>
    <font>
      <b/>
      <sz val="11"/>
      <color theme="1"/>
      <name val="Calibri"/>
      <family val="2"/>
      <charset val="204"/>
      <scheme val="minor"/>
    </font>
    <font>
      <sz val="11"/>
      <name val="Arial Cyr"/>
      <charset val="204"/>
    </font>
    <font>
      <sz val="8"/>
      <name val="Wingdings 3"/>
      <family val="1"/>
      <charset val="2"/>
    </font>
    <font>
      <b/>
      <sz val="16"/>
      <name val="Arial Cyr"/>
    </font>
    <font>
      <b/>
      <sz val="14"/>
      <name val="Arial"/>
      <family val="2"/>
      <charset val="204"/>
    </font>
    <font>
      <b/>
      <sz val="10"/>
      <color theme="0" tint="-0.499984740745262"/>
      <name val="Calibri"/>
      <family val="2"/>
      <charset val="204"/>
      <scheme val="minor"/>
    </font>
    <font>
      <sz val="9"/>
      <color theme="0" tint="-0.34998626667073579"/>
      <name val="Calibri"/>
      <family val="2"/>
      <charset val="204"/>
      <scheme val="minor"/>
    </font>
    <font>
      <b/>
      <i/>
      <u/>
      <sz val="11"/>
      <color theme="10"/>
      <name val="Calibri"/>
      <family val="2"/>
      <charset val="204"/>
      <scheme val="minor"/>
    </font>
    <font>
      <b/>
      <i/>
      <sz val="11"/>
      <color theme="0" tint="-0.34998626667073579"/>
      <name val="Calibri"/>
      <family val="2"/>
      <charset val="204"/>
      <scheme val="minor"/>
    </font>
    <font>
      <sz val="10"/>
      <color theme="0" tint="-0.34998626667073579"/>
      <name val="Calibri"/>
      <family val="2"/>
      <charset val="204"/>
      <scheme val="minor"/>
    </font>
    <font>
      <b/>
      <u val="singleAccounting"/>
      <sz val="11"/>
      <color theme="0" tint="-0.34998626667073579"/>
      <name val="Calibri"/>
      <family val="2"/>
      <charset val="204"/>
      <scheme val="minor"/>
    </font>
    <font>
      <b/>
      <sz val="11"/>
      <color theme="0" tint="-0.34998626667073579"/>
      <name val="Calibri"/>
      <family val="2"/>
      <charset val="204"/>
      <scheme val="minor"/>
    </font>
    <font>
      <sz val="11"/>
      <color theme="0" tint="-0.34998626667073579"/>
      <name val="Calibri"/>
      <family val="2"/>
      <charset val="204"/>
      <scheme val="minor"/>
    </font>
    <font>
      <i/>
      <sz val="11"/>
      <color theme="0" tint="-0.34998626667073579"/>
      <name val="Calibri"/>
      <family val="2"/>
      <charset val="204"/>
      <scheme val="minor"/>
    </font>
    <font>
      <i/>
      <sz val="10"/>
      <color theme="0" tint="-0.34998626667073579"/>
      <name val="Calibri"/>
      <family val="2"/>
      <charset val="204"/>
      <scheme val="minor"/>
    </font>
    <font>
      <sz val="10"/>
      <color theme="0" tint="-0.499984740745262"/>
      <name val="Arial Cyr"/>
      <charset val="204"/>
    </font>
    <font>
      <sz val="20"/>
      <name val="Calibri"/>
      <family val="2"/>
      <charset val="204"/>
      <scheme val="minor"/>
    </font>
    <font>
      <u/>
      <sz val="10"/>
      <color theme="0" tint="-0.499984740745262"/>
      <name val="Calibri"/>
      <family val="2"/>
      <charset val="204"/>
      <scheme val="minor"/>
    </font>
    <font>
      <u/>
      <sz val="10"/>
      <color theme="0" tint="-0.34998626667073579"/>
      <name val="Calibri"/>
      <family val="2"/>
      <charset val="204"/>
      <scheme val="minor"/>
    </font>
    <font>
      <b/>
      <sz val="14"/>
      <name val="Calibri"/>
      <family val="2"/>
      <charset val="204"/>
      <scheme val="minor"/>
    </font>
    <font>
      <sz val="10"/>
      <color theme="0" tint="-0.14999847407452621"/>
      <name val="Calibri"/>
      <family val="2"/>
      <charset val="204"/>
      <scheme val="minor"/>
    </font>
    <font>
      <u/>
      <sz val="16"/>
      <name val="Calibri"/>
      <family val="2"/>
      <charset val="204"/>
      <scheme val="minor"/>
    </font>
    <font>
      <sz val="16"/>
      <name val="Calibri"/>
      <family val="2"/>
      <charset val="204"/>
      <scheme val="minor"/>
    </font>
    <font>
      <b/>
      <sz val="10"/>
      <color theme="0" tint="-0.34998626667073579"/>
      <name val="Calibri"/>
      <family val="2"/>
      <charset val="204"/>
      <scheme val="minor"/>
    </font>
    <font>
      <sz val="10"/>
      <color theme="0" tint="-0.34998626667073579"/>
      <name val="Arial Cyr"/>
      <charset val="204"/>
    </font>
    <font>
      <sz val="10"/>
      <color rgb="FFC00000"/>
      <name val="Calibri"/>
      <family val="2"/>
      <charset val="204"/>
      <scheme val="minor"/>
    </font>
    <font>
      <sz val="11"/>
      <color rgb="FFC00000"/>
      <name val="Calibri"/>
      <family val="2"/>
      <charset val="204"/>
      <scheme val="minor"/>
    </font>
    <font>
      <b/>
      <i/>
      <u/>
      <sz val="11"/>
      <name val="Calibri"/>
      <family val="2"/>
      <charset val="204"/>
      <scheme val="minor"/>
    </font>
    <font>
      <sz val="10"/>
      <color rgb="FFFF0000"/>
      <name val="Calibri"/>
      <family val="2"/>
      <charset val="204"/>
      <scheme val="minor"/>
    </font>
    <font>
      <sz val="10"/>
      <color indexed="8"/>
      <name val="Times New Roman CYR"/>
      <charset val="204"/>
    </font>
    <font>
      <sz val="10"/>
      <color indexed="8"/>
      <name val="Arial"/>
      <family val="2"/>
      <charset val="204"/>
    </font>
    <font>
      <sz val="11"/>
      <color theme="1"/>
      <name val="Times New Roman"/>
      <family val="2"/>
      <charset val="204"/>
    </font>
    <font>
      <b/>
      <sz val="10"/>
      <color indexed="8"/>
      <name val="Calibri"/>
      <family val="2"/>
      <charset val="204"/>
    </font>
    <font>
      <sz val="10"/>
      <name val="Calibri"/>
      <family val="2"/>
      <charset val="204"/>
    </font>
    <font>
      <b/>
      <sz val="10"/>
      <name val="Calibri"/>
      <family val="2"/>
      <charset val="204"/>
    </font>
    <font>
      <sz val="10"/>
      <color theme="3"/>
      <name val="Calibri"/>
      <family val="2"/>
      <charset val="204"/>
      <scheme val="minor"/>
    </font>
    <font>
      <sz val="8"/>
      <color theme="0" tint="-0.34998626667073579"/>
      <name val="Calibri"/>
      <family val="2"/>
      <charset val="204"/>
      <scheme val="minor"/>
    </font>
    <font>
      <sz val="10"/>
      <color theme="1" tint="4.9989318521683403E-2"/>
      <name val="Calibri"/>
      <family val="2"/>
      <charset val="204"/>
      <scheme val="minor"/>
    </font>
    <font>
      <b/>
      <sz val="11"/>
      <name val="Calibri"/>
      <family val="2"/>
      <charset val="204"/>
      <scheme val="minor"/>
    </font>
    <font>
      <sz val="18"/>
      <name val="Calibri"/>
      <family val="2"/>
      <charset val="204"/>
      <scheme val="minor"/>
    </font>
    <font>
      <sz val="18"/>
      <name val="Arial Cyr"/>
      <charset val="204"/>
    </font>
    <font>
      <sz val="12"/>
      <name val="Calibri"/>
      <family val="2"/>
      <charset val="204"/>
      <scheme val="minor"/>
    </font>
    <font>
      <sz val="12"/>
      <color theme="0" tint="-0.34998626667073579"/>
      <name val="Calibri"/>
      <family val="2"/>
      <charset val="204"/>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14996795556505021"/>
        <bgColor indexed="64"/>
      </patternFill>
    </fill>
    <fill>
      <patternFill patternType="solid">
        <fgColor theme="1"/>
        <bgColor indexed="64"/>
      </patternFill>
    </fill>
  </fills>
  <borders count="10">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bottom/>
      <diagonal/>
    </border>
    <border>
      <left/>
      <right style="thin">
        <color indexed="64"/>
      </right>
      <top/>
      <bottom style="medium">
        <color indexed="64"/>
      </bottom>
      <diagonal/>
    </border>
  </borders>
  <cellStyleXfs count="52">
    <xf numFmtId="0" fontId="0" fillId="0" borderId="0"/>
    <xf numFmtId="0" fontId="12" fillId="0" borderId="0" applyNumberFormat="0" applyFill="0" applyBorder="0" applyAlignment="0" applyProtection="0">
      <alignment vertical="top"/>
      <protection locked="0"/>
    </xf>
    <xf numFmtId="0" fontId="14" fillId="0" borderId="0"/>
    <xf numFmtId="9" fontId="11" fillId="0" borderId="0" applyFont="0" applyFill="0" applyBorder="0" applyAlignment="0" applyProtection="0"/>
    <xf numFmtId="165" fontId="11" fillId="0" borderId="0" applyFont="0" applyFill="0" applyBorder="0" applyAlignment="0" applyProtection="0"/>
    <xf numFmtId="0" fontId="27" fillId="0" borderId="0">
      <alignment vertical="center"/>
    </xf>
    <xf numFmtId="0" fontId="10" fillId="0" borderId="0"/>
    <xf numFmtId="9" fontId="10" fillId="0" borderId="0" applyFont="0" applyFill="0" applyBorder="0" applyAlignment="0" applyProtection="0"/>
    <xf numFmtId="0" fontId="9" fillId="0" borderId="0"/>
    <xf numFmtId="0" fontId="8" fillId="0" borderId="0"/>
    <xf numFmtId="9" fontId="8" fillId="0" borderId="0" applyFont="0" applyFill="0" applyBorder="0" applyAlignment="0" applyProtection="0"/>
    <xf numFmtId="0" fontId="14" fillId="0" borderId="0"/>
    <xf numFmtId="0" fontId="7" fillId="0" borderId="0"/>
    <xf numFmtId="0" fontId="7" fillId="0" borderId="0"/>
    <xf numFmtId="9" fontId="7"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165" fontId="6"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11" fillId="0" borderId="0"/>
    <xf numFmtId="0" fontId="1" fillId="0" borderId="0"/>
    <xf numFmtId="0" fontId="1" fillId="0" borderId="0"/>
    <xf numFmtId="0" fontId="1" fillId="0" borderId="0"/>
    <xf numFmtId="9" fontId="1" fillId="0" borderId="0" applyFont="0" applyFill="0" applyBorder="0" applyAlignment="0" applyProtection="0"/>
    <xf numFmtId="0" fontId="64" fillId="0" borderId="0"/>
    <xf numFmtId="0" fontId="65" fillId="0" borderId="0"/>
    <xf numFmtId="0" fontId="64"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513">
    <xf numFmtId="0" fontId="0" fillId="0" borderId="0" xfId="0"/>
    <xf numFmtId="0" fontId="0" fillId="2" borderId="0" xfId="0" applyFill="1"/>
    <xf numFmtId="0" fontId="17" fillId="2" borderId="0" xfId="0" applyFont="1" applyFill="1"/>
    <xf numFmtId="0" fontId="13" fillId="2" borderId="0" xfId="0" applyFont="1" applyFill="1"/>
    <xf numFmtId="0" fontId="13" fillId="0" borderId="0" xfId="0" applyFont="1"/>
    <xf numFmtId="0" fontId="15" fillId="2" borderId="0" xfId="0" applyFont="1" applyFill="1"/>
    <xf numFmtId="0" fontId="15" fillId="0" borderId="0" xfId="0" applyFont="1"/>
    <xf numFmtId="0" fontId="16" fillId="2" borderId="0" xfId="1" applyFont="1" applyFill="1" applyAlignment="1" applyProtection="1"/>
    <xf numFmtId="0" fontId="0" fillId="2" borderId="5" xfId="0" applyFill="1" applyBorder="1"/>
    <xf numFmtId="0" fontId="0" fillId="2" borderId="1" xfId="0" applyFont="1" applyFill="1" applyBorder="1"/>
    <xf numFmtId="0" fontId="22" fillId="2" borderId="0" xfId="0" applyFont="1" applyFill="1"/>
    <xf numFmtId="0" fontId="22" fillId="0" borderId="0" xfId="0" applyFont="1"/>
    <xf numFmtId="0" fontId="0" fillId="0" borderId="0" xfId="0" applyBorder="1"/>
    <xf numFmtId="0" fontId="22" fillId="0" borderId="0" xfId="0" applyFont="1" applyBorder="1"/>
    <xf numFmtId="0" fontId="15" fillId="0" borderId="0" xfId="0" applyFont="1" applyBorder="1"/>
    <xf numFmtId="0" fontId="13" fillId="0" borderId="0" xfId="0" applyFont="1" applyBorder="1"/>
    <xf numFmtId="0" fontId="15" fillId="0" borderId="0" xfId="0" applyFont="1" applyFill="1" applyBorder="1"/>
    <xf numFmtId="0" fontId="16" fillId="0" borderId="0" xfId="1" applyFont="1" applyFill="1" applyAlignment="1" applyProtection="1"/>
    <xf numFmtId="0" fontId="16" fillId="0" borderId="0" xfId="1" applyFont="1" applyFill="1" applyBorder="1" applyAlignment="1" applyProtection="1"/>
    <xf numFmtId="0" fontId="15" fillId="0" borderId="0" xfId="0" applyFont="1" applyFill="1"/>
    <xf numFmtId="0" fontId="0" fillId="0" borderId="0" xfId="0" applyFill="1" applyBorder="1"/>
    <xf numFmtId="0" fontId="0" fillId="0" borderId="0" xfId="0" applyFill="1"/>
    <xf numFmtId="0" fontId="22" fillId="0" borderId="0" xfId="0" applyFont="1" applyFill="1" applyBorder="1"/>
    <xf numFmtId="0" fontId="22" fillId="0" borderId="0" xfId="0" applyFont="1" applyFill="1"/>
    <xf numFmtId="0" fontId="29" fillId="6" borderId="0" xfId="29" applyFont="1" applyFill="1"/>
    <xf numFmtId="0" fontId="35" fillId="5" borderId="6" xfId="29" applyFont="1" applyFill="1" applyBorder="1" applyAlignment="1">
      <alignment horizontal="left" vertical="center"/>
    </xf>
    <xf numFmtId="0" fontId="36" fillId="6" borderId="7" xfId="29" applyFont="1" applyFill="1" applyBorder="1" applyAlignment="1">
      <alignment horizontal="left" vertical="center"/>
    </xf>
    <xf numFmtId="0" fontId="0" fillId="2" borderId="0" xfId="0" applyFill="1" applyBorder="1"/>
    <xf numFmtId="0" fontId="37" fillId="6" borderId="0" xfId="29" applyFont="1" applyFill="1" applyBorder="1"/>
    <xf numFmtId="0" fontId="24" fillId="2" borderId="0" xfId="0" applyFont="1" applyFill="1" applyBorder="1"/>
    <xf numFmtId="0" fontId="25" fillId="2" borderId="0" xfId="0" applyFont="1" applyFill="1" applyBorder="1"/>
    <xf numFmtId="0" fontId="17" fillId="2" borderId="0" xfId="0" applyFont="1" applyFill="1" applyBorder="1"/>
    <xf numFmtId="0" fontId="31" fillId="2" borderId="0" xfId="0" applyFont="1" applyFill="1" applyAlignment="1" applyProtection="1">
      <alignment vertical="top" wrapText="1"/>
      <protection hidden="1"/>
    </xf>
    <xf numFmtId="0" fontId="40" fillId="2" borderId="0" xfId="0" applyFont="1" applyFill="1" applyAlignment="1" applyProtection="1">
      <alignment vertical="top" wrapText="1"/>
      <protection hidden="1"/>
    </xf>
    <xf numFmtId="0" fontId="18" fillId="2" borderId="1" xfId="0" applyFont="1" applyFill="1" applyBorder="1" applyAlignment="1">
      <alignment horizontal="justify" wrapText="1"/>
    </xf>
    <xf numFmtId="0" fontId="18" fillId="2" borderId="0" xfId="0" applyFont="1" applyFill="1" applyBorder="1" applyAlignment="1">
      <alignment horizontal="center" wrapText="1"/>
    </xf>
    <xf numFmtId="0" fontId="18" fillId="2" borderId="0" xfId="0" applyFont="1" applyFill="1" applyBorder="1" applyAlignment="1">
      <alignment horizontal="center"/>
    </xf>
    <xf numFmtId="0" fontId="18" fillId="2" borderId="0" xfId="0" applyFont="1" applyFill="1" applyBorder="1"/>
    <xf numFmtId="3" fontId="17" fillId="2" borderId="0"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0" fontId="41" fillId="2" borderId="0" xfId="1" applyFont="1" applyFill="1" applyAlignment="1" applyProtection="1">
      <protection hidden="1"/>
    </xf>
    <xf numFmtId="0" fontId="21" fillId="2" borderId="0" xfId="0" applyFont="1" applyFill="1" applyBorder="1" applyAlignment="1">
      <alignment horizontal="left" wrapText="1" indent="1"/>
    </xf>
    <xf numFmtId="0" fontId="17" fillId="2" borderId="0" xfId="0" applyFont="1" applyFill="1" applyBorder="1" applyAlignment="1">
      <alignment horizontal="left" indent="1"/>
    </xf>
    <xf numFmtId="0" fontId="42" fillId="2" borderId="0" xfId="0" applyFont="1" applyFill="1" applyAlignment="1" applyProtection="1">
      <alignment horizontal="left" indent="4"/>
      <protection hidden="1"/>
    </xf>
    <xf numFmtId="0" fontId="42" fillId="4" borderId="0" xfId="0" applyFont="1" applyFill="1" applyAlignment="1" applyProtection="1">
      <alignment horizontal="left" indent="4"/>
      <protection hidden="1"/>
    </xf>
    <xf numFmtId="0" fontId="21" fillId="2" borderId="0" xfId="0" applyFont="1" applyFill="1" applyBorder="1" applyAlignment="1">
      <alignment horizontal="left" indent="2"/>
    </xf>
    <xf numFmtId="166" fontId="17" fillId="2" borderId="0" xfId="0" applyNumberFormat="1" applyFont="1" applyFill="1" applyBorder="1" applyAlignment="1">
      <alignment horizontal="center" vertical="center" wrapText="1"/>
    </xf>
    <xf numFmtId="166" fontId="17" fillId="2" borderId="0" xfId="0" applyNumberFormat="1" applyFont="1" applyFill="1" applyBorder="1"/>
    <xf numFmtId="0" fontId="43" fillId="2" borderId="0" xfId="0" applyFont="1" applyFill="1"/>
    <xf numFmtId="0" fontId="43" fillId="2" borderId="0" xfId="0" applyFont="1" applyFill="1" applyBorder="1" applyAlignment="1">
      <alignment horizontal="justify" wrapText="1"/>
    </xf>
    <xf numFmtId="10" fontId="43" fillId="2" borderId="0" xfId="0" applyNumberFormat="1" applyFont="1" applyFill="1" applyBorder="1" applyAlignment="1">
      <alignment horizontal="right" wrapText="1"/>
    </xf>
    <xf numFmtId="0" fontId="43" fillId="2" borderId="0" xfId="0" applyFont="1" applyFill="1" applyBorder="1"/>
    <xf numFmtId="0" fontId="48" fillId="2" borderId="0" xfId="0" applyFont="1" applyFill="1" applyBorder="1" applyAlignment="1" applyProtection="1">
      <protection hidden="1"/>
    </xf>
    <xf numFmtId="0" fontId="48" fillId="2" borderId="0" xfId="0" applyFont="1" applyFill="1" applyAlignment="1" applyProtection="1">
      <alignment vertical="top" wrapText="1"/>
      <protection hidden="1"/>
    </xf>
    <xf numFmtId="0" fontId="44" fillId="2" borderId="0" xfId="0" applyFont="1" applyFill="1" applyBorder="1" applyAlignment="1" applyProtection="1">
      <protection hidden="1"/>
    </xf>
    <xf numFmtId="0" fontId="44" fillId="0" borderId="0" xfId="0" applyFont="1" applyBorder="1" applyAlignment="1" applyProtection="1">
      <protection hidden="1"/>
    </xf>
    <xf numFmtId="0" fontId="45" fillId="4" borderId="0" xfId="0" applyFont="1" applyFill="1" applyBorder="1" applyProtection="1">
      <protection hidden="1"/>
    </xf>
    <xf numFmtId="0" fontId="46" fillId="2" borderId="0" xfId="0" applyFont="1" applyFill="1" applyBorder="1" applyAlignment="1" applyProtection="1">
      <protection hidden="1"/>
    </xf>
    <xf numFmtId="0" fontId="47" fillId="2" borderId="0" xfId="0" applyFont="1" applyFill="1" applyBorder="1" applyAlignment="1" applyProtection="1">
      <protection hidden="1"/>
    </xf>
    <xf numFmtId="0" fontId="47" fillId="2" borderId="0" xfId="0" applyFont="1" applyFill="1" applyBorder="1" applyAlignment="1" applyProtection="1">
      <alignment horizontal="center"/>
      <protection hidden="1"/>
    </xf>
    <xf numFmtId="169" fontId="47" fillId="2" borderId="0" xfId="0" applyNumberFormat="1" applyFont="1" applyFill="1" applyBorder="1" applyAlignment="1" applyProtection="1">
      <alignment horizontal="center"/>
      <protection hidden="1"/>
    </xf>
    <xf numFmtId="0" fontId="50" fillId="2" borderId="0" xfId="0" applyFont="1" applyFill="1" applyAlignment="1">
      <alignment horizontal="right" vertical="center"/>
    </xf>
    <xf numFmtId="0" fontId="53" fillId="2" borderId="0" xfId="0" applyFont="1" applyFill="1" applyBorder="1" applyAlignment="1">
      <alignment vertical="center"/>
    </xf>
    <xf numFmtId="0" fontId="54" fillId="2" borderId="0" xfId="0" applyFont="1" applyFill="1"/>
    <xf numFmtId="0" fontId="17" fillId="0" borderId="0" xfId="0" applyFont="1" applyAlignment="1" applyProtection="1">
      <alignment vertical="top"/>
      <protection hidden="1"/>
    </xf>
    <xf numFmtId="0" fontId="55" fillId="2" borderId="0" xfId="1" applyFont="1" applyFill="1" applyAlignment="1" applyProtection="1"/>
    <xf numFmtId="0" fontId="56" fillId="2" borderId="0" xfId="0" applyFont="1" applyFill="1" applyBorder="1"/>
    <xf numFmtId="0" fontId="56" fillId="2" borderId="0" xfId="0" applyFont="1" applyFill="1"/>
    <xf numFmtId="0" fontId="17" fillId="2" borderId="0" xfId="0" applyFont="1" applyFill="1" applyProtection="1">
      <protection hidden="1"/>
    </xf>
    <xf numFmtId="0" fontId="17" fillId="2" borderId="0" xfId="0" applyFont="1" applyFill="1" applyBorder="1" applyProtection="1">
      <protection hidden="1"/>
    </xf>
    <xf numFmtId="0" fontId="17" fillId="2" borderId="0" xfId="0" applyFont="1" applyFill="1" applyAlignment="1" applyProtection="1">
      <protection hidden="1"/>
    </xf>
    <xf numFmtId="0" fontId="17" fillId="2" borderId="0" xfId="0" applyFont="1" applyFill="1" applyBorder="1" applyAlignment="1" applyProtection="1">
      <protection hidden="1"/>
    </xf>
    <xf numFmtId="0" fontId="17" fillId="2" borderId="0" xfId="0" applyFont="1" applyFill="1" applyAlignment="1" applyProtection="1">
      <alignment horizontal="left" indent="3"/>
      <protection hidden="1"/>
    </xf>
    <xf numFmtId="0" fontId="43" fillId="2" borderId="0" xfId="0" applyFont="1" applyFill="1" applyAlignment="1" applyProtection="1">
      <protection hidden="1"/>
    </xf>
    <xf numFmtId="0" fontId="43" fillId="2" borderId="0" xfId="0" applyFont="1" applyFill="1" applyAlignment="1" applyProtection="1">
      <alignment horizontal="left" indent="4"/>
      <protection hidden="1"/>
    </xf>
    <xf numFmtId="0" fontId="43" fillId="4" borderId="0" xfId="0" applyFont="1" applyFill="1" applyProtection="1">
      <protection hidden="1"/>
    </xf>
    <xf numFmtId="0" fontId="43" fillId="0" borderId="0" xfId="0" applyFont="1" applyAlignment="1" applyProtection="1">
      <protection hidden="1"/>
    </xf>
    <xf numFmtId="0" fontId="17" fillId="0" borderId="0" xfId="0" applyFont="1" applyAlignment="1" applyProtection="1">
      <protection hidden="1"/>
    </xf>
    <xf numFmtId="0" fontId="43" fillId="4" borderId="0" xfId="0" applyFont="1" applyFill="1" applyBorder="1" applyProtection="1">
      <protection hidden="1"/>
    </xf>
    <xf numFmtId="0" fontId="43" fillId="2" borderId="0" xfId="0" applyFont="1" applyFill="1" applyBorder="1" applyAlignment="1" applyProtection="1">
      <alignment horizontal="center"/>
      <protection hidden="1"/>
    </xf>
    <xf numFmtId="173" fontId="43" fillId="2" borderId="0" xfId="0" applyNumberFormat="1" applyFont="1" applyFill="1" applyBorder="1" applyAlignment="1" applyProtection="1">
      <alignment horizontal="center"/>
      <protection hidden="1"/>
    </xf>
    <xf numFmtId="173" fontId="43" fillId="2" borderId="0" xfId="0" quotePrefix="1" applyNumberFormat="1" applyFont="1" applyFill="1" applyBorder="1" applyAlignment="1" applyProtection="1">
      <alignment horizontal="center"/>
      <protection hidden="1"/>
    </xf>
    <xf numFmtId="0" fontId="43" fillId="2" borderId="0" xfId="0" quotePrefix="1" applyFont="1" applyFill="1" applyBorder="1" applyAlignment="1" applyProtection="1">
      <alignment horizontal="center"/>
      <protection hidden="1"/>
    </xf>
    <xf numFmtId="2" fontId="43" fillId="2" borderId="0" xfId="0" quotePrefix="1" applyNumberFormat="1" applyFont="1" applyFill="1" applyBorder="1" applyAlignment="1" applyProtection="1">
      <alignment horizontal="center"/>
      <protection hidden="1"/>
    </xf>
    <xf numFmtId="0" fontId="49" fillId="2" borderId="0" xfId="1" applyFont="1" applyFill="1" applyAlignment="1" applyProtection="1"/>
    <xf numFmtId="0" fontId="49" fillId="2" borderId="0" xfId="1" applyFont="1" applyFill="1" applyAlignment="1" applyProtection="1">
      <alignment vertical="top"/>
    </xf>
    <xf numFmtId="0" fontId="50" fillId="2" borderId="0" xfId="0" applyFont="1" applyFill="1" applyAlignment="1">
      <alignment horizontal="right" vertical="center"/>
    </xf>
    <xf numFmtId="0" fontId="18" fillId="2" borderId="0" xfId="0" applyFont="1" applyFill="1"/>
    <xf numFmtId="0" fontId="51" fillId="2" borderId="0" xfId="1" applyFont="1" applyFill="1" applyAlignment="1" applyProtection="1">
      <alignment horizontal="center" vertical="center"/>
    </xf>
    <xf numFmtId="0" fontId="17" fillId="2" borderId="0" xfId="0" applyFont="1" applyFill="1" applyBorder="1" applyAlignment="1">
      <alignment horizontal="justify" wrapText="1"/>
    </xf>
    <xf numFmtId="0" fontId="17" fillId="2" borderId="0" xfId="0" applyFont="1" applyFill="1" applyAlignment="1">
      <alignment horizontal="center" vertical="center"/>
    </xf>
    <xf numFmtId="0" fontId="17" fillId="2" borderId="0" xfId="0" applyFont="1" applyFill="1" applyBorder="1" applyAlignment="1">
      <alignment wrapText="1"/>
    </xf>
    <xf numFmtId="0" fontId="17" fillId="2" borderId="0" xfId="0" applyFont="1" applyFill="1" applyBorder="1" applyAlignment="1">
      <alignment horizontal="center" vertical="center"/>
    </xf>
    <xf numFmtId="0" fontId="19" fillId="2" borderId="0" xfId="0" applyFont="1" applyFill="1" applyBorder="1" applyAlignment="1">
      <alignment horizontal="left" vertical="center" wrapText="1" readingOrder="1"/>
    </xf>
    <xf numFmtId="0" fontId="19" fillId="2" borderId="0" xfId="0" applyFont="1" applyFill="1" applyBorder="1" applyAlignment="1">
      <alignment horizontal="center" vertical="center" wrapText="1" readingOrder="1"/>
    </xf>
    <xf numFmtId="0" fontId="17" fillId="2" borderId="0" xfId="0" applyFont="1" applyFill="1" applyBorder="1" applyAlignment="1">
      <alignment horizontal="left" vertical="center" wrapText="1"/>
    </xf>
    <xf numFmtId="0" fontId="20" fillId="2" borderId="4" xfId="0" applyFont="1" applyFill="1" applyBorder="1" applyAlignment="1">
      <alignment vertical="center" wrapText="1" readingOrder="1"/>
    </xf>
    <xf numFmtId="0" fontId="19" fillId="2" borderId="1" xfId="0" applyFont="1" applyFill="1" applyBorder="1" applyAlignment="1">
      <alignment horizontal="left" vertical="center" wrapText="1" readingOrder="1"/>
    </xf>
    <xf numFmtId="0" fontId="19" fillId="2" borderId="1" xfId="0" applyFont="1" applyFill="1" applyBorder="1" applyAlignment="1">
      <alignment horizontal="center" vertical="center" wrapText="1" readingOrder="1"/>
    </xf>
    <xf numFmtId="0" fontId="18" fillId="2" borderId="0" xfId="0" applyFont="1" applyFill="1" applyBorder="1" applyAlignment="1">
      <alignment horizontal="justify" wrapText="1"/>
    </xf>
    <xf numFmtId="0" fontId="17" fillId="2" borderId="0" xfId="0" applyFont="1" applyFill="1" applyBorder="1" applyAlignment="1">
      <alignment horizontal="center" wrapText="1"/>
    </xf>
    <xf numFmtId="2" fontId="17" fillId="2" borderId="0" xfId="0" applyNumberFormat="1" applyFont="1" applyFill="1" applyBorder="1" applyAlignment="1">
      <alignment horizontal="center"/>
    </xf>
    <xf numFmtId="2" fontId="17" fillId="2" borderId="0" xfId="0" applyNumberFormat="1" applyFont="1" applyFill="1" applyBorder="1" applyAlignment="1">
      <alignment horizontal="center" vertical="center"/>
    </xf>
    <xf numFmtId="0" fontId="17" fillId="2" borderId="5" xfId="0" applyFont="1" applyFill="1" applyBorder="1" applyAlignment="1">
      <alignment horizontal="justify" wrapText="1"/>
    </xf>
    <xf numFmtId="2" fontId="17" fillId="2" borderId="5" xfId="0" applyNumberFormat="1" applyFont="1" applyFill="1" applyBorder="1" applyAlignment="1">
      <alignment horizontal="center" vertical="center"/>
    </xf>
    <xf numFmtId="0" fontId="18" fillId="2" borderId="4" xfId="0" applyFont="1" applyFill="1" applyBorder="1" applyAlignment="1">
      <alignment horizontal="justify" wrapText="1"/>
    </xf>
    <xf numFmtId="2" fontId="17" fillId="2" borderId="4" xfId="0" applyNumberFormat="1" applyFont="1" applyFill="1" applyBorder="1"/>
    <xf numFmtId="0" fontId="17" fillId="2" borderId="4" xfId="0" applyFont="1" applyFill="1" applyBorder="1" applyAlignment="1">
      <alignment horizontal="center" vertical="center"/>
    </xf>
    <xf numFmtId="2" fontId="17" fillId="2" borderId="0" xfId="0" applyNumberFormat="1" applyFont="1" applyFill="1" applyBorder="1"/>
    <xf numFmtId="4" fontId="17" fillId="2" borderId="0" xfId="0" applyNumberFormat="1" applyFont="1" applyFill="1" applyBorder="1" applyAlignment="1">
      <alignment horizontal="center" vertical="center"/>
    </xf>
    <xf numFmtId="4" fontId="17" fillId="2" borderId="5" xfId="0" applyNumberFormat="1" applyFont="1" applyFill="1" applyBorder="1" applyAlignment="1">
      <alignment horizontal="center" vertical="center"/>
    </xf>
    <xf numFmtId="2" fontId="17" fillId="2" borderId="0" xfId="0" applyNumberFormat="1" applyFont="1" applyFill="1" applyBorder="1" applyAlignment="1">
      <alignment horizontal="center" vertical="center" wrapText="1"/>
    </xf>
    <xf numFmtId="0" fontId="18" fillId="2" borderId="4" xfId="0" applyFont="1" applyFill="1" applyBorder="1" applyAlignment="1">
      <alignment horizontal="center" vertical="center"/>
    </xf>
    <xf numFmtId="0" fontId="17" fillId="2" borderId="4" xfId="0" applyFont="1" applyFill="1" applyBorder="1"/>
    <xf numFmtId="2" fontId="17" fillId="2" borderId="4" xfId="0" applyNumberFormat="1" applyFont="1" applyFill="1" applyBorder="1" applyAlignment="1">
      <alignment horizontal="center" vertical="center" wrapText="1"/>
    </xf>
    <xf numFmtId="0" fontId="17" fillId="2" borderId="5" xfId="0" applyFont="1" applyFill="1" applyBorder="1" applyAlignment="1">
      <alignment horizontal="center" vertical="center"/>
    </xf>
    <xf numFmtId="0" fontId="18" fillId="2" borderId="0" xfId="0" applyFont="1" applyFill="1" applyBorder="1" applyAlignment="1">
      <alignment horizontal="right" wrapText="1"/>
    </xf>
    <xf numFmtId="0" fontId="18" fillId="2" borderId="5" xfId="0" applyFont="1" applyFill="1" applyBorder="1" applyAlignment="1">
      <alignment horizontal="center" wrapText="1"/>
    </xf>
    <xf numFmtId="0" fontId="18" fillId="2" borderId="5" xfId="0" applyFont="1" applyFill="1" applyBorder="1" applyAlignment="1">
      <alignment horizontal="center" vertical="center"/>
    </xf>
    <xf numFmtId="3" fontId="17" fillId="2" borderId="1" xfId="0" applyNumberFormat="1" applyFont="1" applyFill="1" applyBorder="1" applyAlignment="1">
      <alignment horizontal="center" vertical="center"/>
    </xf>
    <xf numFmtId="0" fontId="18" fillId="2" borderId="0" xfId="0" applyFont="1" applyFill="1" applyBorder="1" applyAlignment="1">
      <alignment horizontal="center" vertical="center"/>
    </xf>
    <xf numFmtId="0" fontId="18" fillId="2" borderId="0" xfId="0" applyFont="1" applyFill="1" applyBorder="1" applyAlignment="1">
      <alignment horizontal="center" vertical="center" wrapText="1"/>
    </xf>
    <xf numFmtId="0" fontId="17" fillId="2" borderId="0" xfId="0" applyFont="1" applyFill="1" applyBorder="1" applyAlignment="1">
      <alignment horizontal="center"/>
    </xf>
    <xf numFmtId="3" fontId="17" fillId="2" borderId="0" xfId="0" applyNumberFormat="1" applyFont="1" applyFill="1" applyBorder="1"/>
    <xf numFmtId="0" fontId="17" fillId="3" borderId="0" xfId="0" applyFont="1" applyFill="1" applyBorder="1"/>
    <xf numFmtId="0" fontId="43" fillId="3" borderId="0" xfId="0" applyFont="1" applyFill="1" applyBorder="1" applyAlignment="1">
      <alignment horizontal="left" vertical="center" wrapText="1" readingOrder="1"/>
    </xf>
    <xf numFmtId="0" fontId="57" fillId="3" borderId="0" xfId="0" applyFont="1" applyFill="1" applyBorder="1" applyAlignment="1">
      <alignment horizontal="justify" wrapText="1"/>
    </xf>
    <xf numFmtId="0" fontId="43" fillId="3" borderId="0" xfId="0" applyFont="1" applyFill="1" applyBorder="1" applyAlignment="1">
      <alignment horizontal="justify" wrapText="1"/>
    </xf>
    <xf numFmtId="0" fontId="43" fillId="3" borderId="0" xfId="0" applyFont="1" applyFill="1" applyBorder="1"/>
    <xf numFmtId="0" fontId="57" fillId="3" borderId="0" xfId="0" applyFont="1" applyFill="1" applyBorder="1"/>
    <xf numFmtId="0" fontId="57" fillId="3" borderId="0" xfId="0" applyFont="1" applyFill="1" applyBorder="1" applyAlignment="1">
      <alignment vertical="center" wrapText="1" readingOrder="1"/>
    </xf>
    <xf numFmtId="0" fontId="17" fillId="2" borderId="0" xfId="0" applyFont="1" applyFill="1" applyBorder="1" applyAlignment="1">
      <alignment horizontal="right"/>
    </xf>
    <xf numFmtId="3" fontId="17" fillId="2" borderId="0" xfId="0" applyNumberFormat="1" applyFont="1" applyFill="1" applyBorder="1" applyAlignment="1">
      <alignment horizontal="right"/>
    </xf>
    <xf numFmtId="3" fontId="26" fillId="2" borderId="1" xfId="0" applyNumberFormat="1" applyFont="1" applyFill="1" applyBorder="1" applyAlignment="1">
      <alignment horizontal="right" wrapText="1"/>
    </xf>
    <xf numFmtId="3" fontId="17" fillId="2" borderId="0" xfId="0" applyNumberFormat="1" applyFont="1" applyFill="1" applyBorder="1" applyAlignment="1">
      <alignment horizontal="center"/>
    </xf>
    <xf numFmtId="3" fontId="26" fillId="2" borderId="3" xfId="0" applyNumberFormat="1" applyFont="1" applyFill="1" applyBorder="1" applyAlignment="1">
      <alignment horizontal="right" wrapText="1"/>
    </xf>
    <xf numFmtId="0" fontId="17" fillId="2" borderId="0" xfId="0" applyFont="1" applyFill="1" applyBorder="1" applyAlignment="1">
      <alignment horizontal="left"/>
    </xf>
    <xf numFmtId="0" fontId="21" fillId="2" borderId="0" xfId="0" applyFont="1" applyFill="1" applyBorder="1"/>
    <xf numFmtId="168" fontId="17" fillId="2" borderId="0" xfId="0" applyNumberFormat="1" applyFont="1" applyFill="1" applyBorder="1" applyAlignment="1">
      <alignment horizontal="right"/>
    </xf>
    <xf numFmtId="3" fontId="18" fillId="2" borderId="0" xfId="0" applyNumberFormat="1" applyFont="1" applyFill="1" applyBorder="1" applyAlignment="1">
      <alignment horizontal="right" wrapText="1"/>
    </xf>
    <xf numFmtId="168" fontId="26" fillId="2" borderId="0" xfId="0" applyNumberFormat="1" applyFont="1" applyFill="1" applyBorder="1" applyAlignment="1">
      <alignment horizontal="right"/>
    </xf>
    <xf numFmtId="172" fontId="17" fillId="2" borderId="1" xfId="0" applyNumberFormat="1" applyFont="1" applyFill="1" applyBorder="1" applyAlignment="1">
      <alignment horizontal="right"/>
    </xf>
    <xf numFmtId="168" fontId="17" fillId="2" borderId="0" xfId="0" applyNumberFormat="1" applyFont="1" applyFill="1" applyBorder="1" applyAlignment="1">
      <alignment horizontal="right" wrapText="1"/>
    </xf>
    <xf numFmtId="0" fontId="18" fillId="2" borderId="5" xfId="0" applyFont="1" applyFill="1" applyBorder="1" applyAlignment="1"/>
    <xf numFmtId="0" fontId="18" fillId="2" borderId="0" xfId="0" applyFont="1" applyFill="1" applyBorder="1" applyAlignment="1"/>
    <xf numFmtId="0" fontId="57" fillId="2" borderId="0" xfId="0" applyFont="1" applyFill="1" applyBorder="1" applyAlignment="1"/>
    <xf numFmtId="0" fontId="57" fillId="2" borderId="0" xfId="0" applyFont="1" applyFill="1" applyBorder="1"/>
    <xf numFmtId="0" fontId="43" fillId="2" borderId="0" xfId="0" applyFont="1" applyFill="1" applyBorder="1" applyAlignment="1">
      <alignment horizontal="center"/>
    </xf>
    <xf numFmtId="0" fontId="18" fillId="2" borderId="5" xfId="0" applyFont="1" applyFill="1" applyBorder="1" applyAlignment="1">
      <alignment horizontal="center"/>
    </xf>
    <xf numFmtId="0" fontId="18" fillId="3" borderId="5" xfId="0" applyFont="1" applyFill="1" applyBorder="1" applyAlignment="1">
      <alignment horizontal="center"/>
    </xf>
    <xf numFmtId="0" fontId="18" fillId="2" borderId="5" xfId="0" applyFont="1" applyFill="1" applyBorder="1" applyAlignment="1">
      <alignment horizontal="justify" wrapText="1"/>
    </xf>
    <xf numFmtId="0" fontId="18" fillId="3" borderId="5" xfId="0" applyFont="1" applyFill="1" applyBorder="1" applyAlignment="1">
      <alignment horizontal="center" vertical="center"/>
    </xf>
    <xf numFmtId="0" fontId="18" fillId="2" borderId="0" xfId="2" applyFont="1" applyFill="1" applyBorder="1" applyAlignment="1"/>
    <xf numFmtId="0" fontId="17" fillId="2" borderId="0" xfId="2" applyFont="1" applyFill="1" applyBorder="1" applyAlignment="1"/>
    <xf numFmtId="0" fontId="17" fillId="2" borderId="0" xfId="2" applyFont="1" applyFill="1" applyBorder="1" applyAlignment="1">
      <alignment vertical="center" wrapText="1"/>
    </xf>
    <xf numFmtId="0" fontId="17" fillId="2" borderId="0" xfId="2" applyFont="1" applyFill="1" applyBorder="1" applyAlignment="1">
      <alignment horizontal="center" vertical="center" wrapText="1"/>
    </xf>
    <xf numFmtId="3" fontId="17" fillId="2" borderId="0" xfId="2" applyNumberFormat="1" applyFont="1" applyFill="1" applyBorder="1" applyAlignment="1">
      <alignment horizontal="center" vertical="center"/>
    </xf>
    <xf numFmtId="0" fontId="17" fillId="2" borderId="0" xfId="2" applyFont="1" applyFill="1" applyBorder="1"/>
    <xf numFmtId="0" fontId="17" fillId="2" borderId="0" xfId="2" applyFont="1" applyFill="1" applyBorder="1" applyAlignment="1">
      <alignment horizontal="center"/>
    </xf>
    <xf numFmtId="0" fontId="17" fillId="2" borderId="0" xfId="2" applyFont="1" applyFill="1" applyBorder="1" applyAlignment="1">
      <alignment horizontal="center" vertical="center"/>
    </xf>
    <xf numFmtId="0" fontId="18" fillId="2" borderId="0" xfId="2" applyFont="1" applyFill="1" applyBorder="1" applyAlignment="1">
      <alignment horizontal="center" vertical="center"/>
    </xf>
    <xf numFmtId="0" fontId="51" fillId="2" borderId="0" xfId="1" applyFont="1" applyFill="1" applyAlignment="1" applyProtection="1">
      <alignment vertical="center"/>
    </xf>
    <xf numFmtId="0" fontId="18" fillId="2" borderId="0" xfId="2" applyFont="1" applyFill="1" applyBorder="1" applyAlignment="1">
      <alignment horizontal="center"/>
    </xf>
    <xf numFmtId="0" fontId="18" fillId="2" borderId="5" xfId="2" applyFont="1" applyFill="1" applyBorder="1" applyAlignment="1">
      <alignment horizontal="left" vertical="center" wrapText="1"/>
    </xf>
    <xf numFmtId="0" fontId="18" fillId="2" borderId="5" xfId="2" applyFont="1" applyFill="1" applyBorder="1" applyAlignment="1">
      <alignment horizontal="center" vertical="center" wrapText="1"/>
    </xf>
    <xf numFmtId="0" fontId="18" fillId="2" borderId="5" xfId="2" applyFont="1" applyFill="1" applyBorder="1" applyAlignment="1">
      <alignment horizontal="center" vertical="center"/>
    </xf>
    <xf numFmtId="0" fontId="23" fillId="2" borderId="0" xfId="0" applyFont="1" applyFill="1" applyBorder="1"/>
    <xf numFmtId="0" fontId="18" fillId="2" borderId="0" xfId="0" applyFont="1" applyFill="1" applyBorder="1" applyAlignment="1">
      <alignment horizontal="left" vertical="center"/>
    </xf>
    <xf numFmtId="166" fontId="17" fillId="2" borderId="0" xfId="0" applyNumberFormat="1" applyFont="1" applyFill="1" applyBorder="1" applyAlignment="1">
      <alignment horizontal="center"/>
    </xf>
    <xf numFmtId="0" fontId="30" fillId="2" borderId="0" xfId="0" applyFont="1" applyFill="1" applyBorder="1" applyAlignment="1">
      <alignment horizontal="left" vertical="center"/>
    </xf>
    <xf numFmtId="0" fontId="23" fillId="2" borderId="0" xfId="0" applyFont="1" applyFill="1" applyBorder="1" applyAlignment="1">
      <alignment horizontal="left"/>
    </xf>
    <xf numFmtId="3" fontId="23" fillId="2" borderId="0" xfId="0" applyNumberFormat="1" applyFont="1" applyFill="1" applyBorder="1" applyAlignment="1">
      <alignment horizontal="center"/>
    </xf>
    <xf numFmtId="166" fontId="23" fillId="2" borderId="0" xfId="0" applyNumberFormat="1" applyFont="1" applyFill="1" applyBorder="1"/>
    <xf numFmtId="4" fontId="23" fillId="2" borderId="0" xfId="0" applyNumberFormat="1" applyFont="1" applyFill="1" applyBorder="1" applyAlignment="1">
      <alignment horizontal="center"/>
    </xf>
    <xf numFmtId="2" fontId="23" fillId="2" borderId="0" xfId="0" applyNumberFormat="1" applyFont="1" applyFill="1" applyBorder="1" applyAlignment="1">
      <alignment horizontal="center"/>
    </xf>
    <xf numFmtId="0" fontId="18" fillId="2" borderId="0" xfId="0" applyFont="1" applyFill="1" applyBorder="1" applyAlignment="1">
      <alignment horizontal="left" vertical="center" wrapText="1"/>
    </xf>
    <xf numFmtId="4" fontId="17" fillId="2" borderId="0" xfId="0" applyNumberFormat="1" applyFont="1" applyFill="1" applyBorder="1" applyAlignment="1">
      <alignment horizontal="center"/>
    </xf>
    <xf numFmtId="10" fontId="17" fillId="2" borderId="0" xfId="3" applyNumberFormat="1" applyFont="1" applyFill="1" applyBorder="1"/>
    <xf numFmtId="0" fontId="38" fillId="2" borderId="0" xfId="0" applyFont="1" applyFill="1" applyBorder="1" applyAlignment="1"/>
    <xf numFmtId="0" fontId="17" fillId="2" borderId="5" xfId="0" applyFont="1" applyFill="1" applyBorder="1"/>
    <xf numFmtId="0" fontId="23" fillId="2" borderId="5" xfId="0" applyFont="1" applyFill="1" applyBorder="1"/>
    <xf numFmtId="0" fontId="30" fillId="2" borderId="5" xfId="0" applyFont="1" applyFill="1" applyBorder="1" applyAlignment="1">
      <alignment horizontal="center" vertical="center"/>
    </xf>
    <xf numFmtId="0" fontId="43" fillId="2" borderId="0" xfId="0" applyFont="1" applyFill="1" applyBorder="1" applyAlignment="1">
      <alignment horizontal="left"/>
    </xf>
    <xf numFmtId="0" fontId="53" fillId="2" borderId="0" xfId="0" applyFont="1" applyFill="1" applyBorder="1" applyAlignment="1">
      <alignment horizontal="center"/>
    </xf>
    <xf numFmtId="0" fontId="50" fillId="2" borderId="0" xfId="0" applyFont="1" applyFill="1" applyAlignment="1">
      <alignment horizontal="right" vertical="center"/>
    </xf>
    <xf numFmtId="0" fontId="17" fillId="2" borderId="0" xfId="0" applyFont="1" applyFill="1" applyBorder="1" applyAlignment="1">
      <alignment horizontal="justify" wrapText="1"/>
    </xf>
    <xf numFmtId="0" fontId="53" fillId="2" borderId="0" xfId="0" applyFont="1" applyFill="1" applyBorder="1" applyAlignment="1"/>
    <xf numFmtId="0" fontId="43" fillId="2" borderId="0" xfId="0" applyFont="1" applyFill="1" applyBorder="1" applyAlignment="1">
      <alignment horizontal="center" vertical="center"/>
    </xf>
    <xf numFmtId="0" fontId="20" fillId="2" borderId="0" xfId="0" applyFont="1" applyFill="1" applyBorder="1" applyAlignment="1">
      <alignment horizontal="center" vertical="center" wrapText="1" readingOrder="1"/>
    </xf>
    <xf numFmtId="167" fontId="23" fillId="2" borderId="0" xfId="4" applyNumberFormat="1" applyFont="1" applyFill="1" applyBorder="1" applyAlignment="1">
      <alignment horizontal="center" vertical="center" readingOrder="1"/>
    </xf>
    <xf numFmtId="167" fontId="19" fillId="2" borderId="0" xfId="4" applyNumberFormat="1" applyFont="1" applyFill="1" applyBorder="1" applyAlignment="1">
      <alignment horizontal="center" vertical="center" wrapText="1" readingOrder="1"/>
    </xf>
    <xf numFmtId="3" fontId="19" fillId="2" borderId="0" xfId="0" applyNumberFormat="1" applyFont="1" applyFill="1" applyBorder="1" applyAlignment="1">
      <alignment horizontal="center" vertical="center" wrapText="1" readingOrder="1"/>
    </xf>
    <xf numFmtId="3" fontId="17" fillId="2" borderId="0" xfId="0" applyNumberFormat="1" applyFont="1" applyFill="1" applyBorder="1" applyAlignment="1">
      <alignment horizontal="center" vertical="center" readingOrder="1"/>
    </xf>
    <xf numFmtId="0" fontId="17" fillId="2" borderId="0" xfId="0" applyFont="1" applyFill="1" applyBorder="1" applyAlignment="1">
      <alignment horizontal="center" vertical="center" readingOrder="1"/>
    </xf>
    <xf numFmtId="0" fontId="20" fillId="2" borderId="0" xfId="0" applyFont="1" applyFill="1" applyBorder="1" applyAlignment="1">
      <alignment vertical="center" wrapText="1" readingOrder="1"/>
    </xf>
    <xf numFmtId="3" fontId="19" fillId="2" borderId="0" xfId="0" applyNumberFormat="1" applyFont="1" applyFill="1" applyBorder="1" applyAlignment="1">
      <alignment horizontal="center" vertical="center" readingOrder="1"/>
    </xf>
    <xf numFmtId="0" fontId="20" fillId="2" borderId="5" xfId="0" applyFont="1" applyFill="1" applyBorder="1" applyAlignment="1">
      <alignment horizontal="center" vertical="center" wrapText="1" readingOrder="1"/>
    </xf>
    <xf numFmtId="0" fontId="18" fillId="2" borderId="5" xfId="0" applyFont="1" applyFill="1" applyBorder="1" applyAlignment="1">
      <alignment horizontal="center" vertical="center" readingOrder="1"/>
    </xf>
    <xf numFmtId="0" fontId="18" fillId="3" borderId="5" xfId="0" applyFont="1" applyFill="1" applyBorder="1" applyAlignment="1">
      <alignment horizontal="center" vertical="center" readingOrder="1"/>
    </xf>
    <xf numFmtId="0" fontId="18" fillId="2" borderId="0" xfId="0" applyFont="1" applyFill="1" applyBorder="1" applyAlignment="1">
      <alignment wrapText="1"/>
    </xf>
    <xf numFmtId="0" fontId="19" fillId="2" borderId="5" xfId="0" applyFont="1" applyFill="1" applyBorder="1" applyAlignment="1">
      <alignment vertical="center"/>
    </xf>
    <xf numFmtId="0" fontId="19" fillId="2" borderId="0" xfId="0" applyFont="1" applyFill="1" applyBorder="1" applyAlignment="1">
      <alignment horizontal="left" vertical="center"/>
    </xf>
    <xf numFmtId="0" fontId="20" fillId="2" borderId="0" xfId="0" applyFont="1" applyFill="1" applyBorder="1" applyAlignment="1">
      <alignment vertical="center"/>
    </xf>
    <xf numFmtId="0" fontId="57" fillId="3" borderId="0" xfId="0" applyFont="1" applyFill="1" applyBorder="1" applyAlignment="1"/>
    <xf numFmtId="3" fontId="43" fillId="3" borderId="0" xfId="0" applyNumberFormat="1" applyFont="1" applyFill="1" applyBorder="1" applyAlignment="1">
      <alignment horizontal="center" vertical="center" wrapText="1" readingOrder="1"/>
    </xf>
    <xf numFmtId="0" fontId="43" fillId="3" borderId="0" xfId="0" applyFont="1" applyFill="1" applyBorder="1" applyAlignment="1">
      <alignment horizontal="left" vertical="center"/>
    </xf>
    <xf numFmtId="0" fontId="57" fillId="3" borderId="0" xfId="0" applyFont="1" applyFill="1" applyBorder="1" applyAlignment="1">
      <alignment vertical="center"/>
    </xf>
    <xf numFmtId="0" fontId="43" fillId="3" borderId="0" xfId="0" applyFont="1" applyFill="1" applyBorder="1" applyAlignment="1">
      <alignment vertical="center"/>
    </xf>
    <xf numFmtId="0" fontId="17" fillId="2" borderId="0" xfId="0" applyFont="1" applyFill="1" applyBorder="1" applyAlignment="1">
      <alignment horizontal="left" indent="2"/>
    </xf>
    <xf numFmtId="166" fontId="18" fillId="2" borderId="0" xfId="0" applyNumberFormat="1" applyFont="1" applyFill="1" applyBorder="1" applyAlignment="1">
      <alignment horizontal="center"/>
    </xf>
    <xf numFmtId="0" fontId="18" fillId="2" borderId="1" xfId="0" applyFont="1" applyFill="1" applyBorder="1" applyAlignment="1">
      <alignment horizontal="left" vertical="center" wrapText="1"/>
    </xf>
    <xf numFmtId="167" fontId="19" fillId="2" borderId="0" xfId="4" applyNumberFormat="1" applyFont="1" applyFill="1" applyBorder="1" applyAlignment="1">
      <alignment horizontal="center" vertical="center" wrapText="1"/>
    </xf>
    <xf numFmtId="0" fontId="20" fillId="2" borderId="0" xfId="0" applyFont="1" applyFill="1" applyBorder="1" applyAlignment="1">
      <alignment vertical="center" readingOrder="1"/>
    </xf>
    <xf numFmtId="3" fontId="19" fillId="2" borderId="0" xfId="0" applyNumberFormat="1" applyFont="1" applyFill="1" applyBorder="1" applyAlignment="1">
      <alignment horizontal="right" wrapText="1" readingOrder="1"/>
    </xf>
    <xf numFmtId="3" fontId="19" fillId="2" borderId="0" xfId="0" applyNumberFormat="1" applyFont="1" applyFill="1" applyBorder="1" applyAlignment="1">
      <alignment horizontal="right" vertical="center" wrapText="1" readingOrder="1"/>
    </xf>
    <xf numFmtId="0" fontId="19" fillId="2" borderId="0" xfId="0" applyFont="1" applyFill="1" applyBorder="1" applyAlignment="1">
      <alignment horizontal="left" vertical="center" wrapText="1" indent="2" readingOrder="1"/>
    </xf>
    <xf numFmtId="0" fontId="19" fillId="2" borderId="0" xfId="0" applyFont="1" applyFill="1" applyBorder="1" applyAlignment="1">
      <alignment horizontal="right" wrapText="1" readingOrder="1"/>
    </xf>
    <xf numFmtId="0" fontId="20" fillId="2" borderId="0" xfId="0" applyFont="1" applyFill="1" applyBorder="1" applyAlignment="1">
      <alignment horizontal="left" wrapText="1" readingOrder="1"/>
    </xf>
    <xf numFmtId="3" fontId="20" fillId="2" borderId="0" xfId="0" applyNumberFormat="1" applyFont="1" applyFill="1" applyBorder="1" applyAlignment="1">
      <alignment horizontal="right" wrapText="1" readingOrder="1"/>
    </xf>
    <xf numFmtId="0" fontId="19" fillId="2" borderId="5" xfId="0" applyFont="1" applyFill="1" applyBorder="1" applyAlignment="1">
      <alignment horizontal="center" vertical="center" wrapText="1" readingOrder="1"/>
    </xf>
    <xf numFmtId="0" fontId="18" fillId="2" borderId="0" xfId="0" applyFont="1" applyFill="1" applyBorder="1" applyAlignment="1">
      <alignment horizontal="center" readingOrder="1"/>
    </xf>
    <xf numFmtId="0" fontId="17" fillId="2" borderId="0" xfId="0" applyFont="1" applyFill="1" applyBorder="1" applyAlignment="1">
      <alignment horizontal="center" readingOrder="1"/>
    </xf>
    <xf numFmtId="0" fontId="20" fillId="2" borderId="5" xfId="0" applyFont="1" applyFill="1" applyBorder="1" applyAlignment="1">
      <alignment horizontal="center" wrapText="1" readingOrder="1"/>
    </xf>
    <xf numFmtId="0" fontId="17" fillId="2" borderId="0" xfId="1" applyFont="1" applyFill="1" applyAlignment="1" applyProtection="1"/>
    <xf numFmtId="0" fontId="43" fillId="2" borderId="0" xfId="0" applyFont="1" applyFill="1" applyBorder="1" applyAlignment="1">
      <alignment horizontal="left" vertical="center" wrapText="1" readingOrder="1"/>
    </xf>
    <xf numFmtId="0" fontId="57" fillId="2" borderId="0" xfId="0" applyFont="1" applyFill="1" applyBorder="1" applyAlignment="1">
      <alignment vertical="center" wrapText="1" readingOrder="1"/>
    </xf>
    <xf numFmtId="0" fontId="43" fillId="2" borderId="0" xfId="0" applyFont="1" applyFill="1" applyBorder="1" applyAlignment="1">
      <alignment horizontal="center" vertical="center" wrapText="1" readingOrder="1"/>
    </xf>
    <xf numFmtId="0" fontId="30" fillId="2" borderId="0" xfId="26" applyFont="1" applyFill="1" applyBorder="1" applyAlignment="1"/>
    <xf numFmtId="0" fontId="23" fillId="2" borderId="0" xfId="26" applyFont="1" applyFill="1" applyBorder="1"/>
    <xf numFmtId="0" fontId="17" fillId="2" borderId="0" xfId="26" applyFont="1" applyFill="1" applyBorder="1" applyAlignment="1">
      <alignment horizontal="center" vertical="center"/>
    </xf>
    <xf numFmtId="4" fontId="17" fillId="2" borderId="0" xfId="26" applyNumberFormat="1" applyFont="1" applyFill="1" applyBorder="1" applyAlignment="1">
      <alignment vertical="center"/>
    </xf>
    <xf numFmtId="0" fontId="32" fillId="2" borderId="0" xfId="26" applyFont="1" applyFill="1" applyBorder="1"/>
    <xf numFmtId="0" fontId="30" fillId="2" borderId="0" xfId="26" applyFont="1" applyFill="1" applyBorder="1"/>
    <xf numFmtId="0" fontId="17" fillId="2" borderId="0" xfId="26" applyFont="1" applyFill="1" applyBorder="1"/>
    <xf numFmtId="0" fontId="18" fillId="2" borderId="0" xfId="26" applyFont="1" applyFill="1" applyBorder="1"/>
    <xf numFmtId="0" fontId="33" fillId="2" borderId="0" xfId="26" applyFont="1" applyFill="1" applyBorder="1"/>
    <xf numFmtId="0" fontId="18" fillId="2" borderId="0" xfId="26" applyFont="1" applyFill="1" applyBorder="1" applyAlignment="1">
      <alignment horizontal="left"/>
    </xf>
    <xf numFmtId="0" fontId="17" fillId="2" borderId="0" xfId="26" applyFont="1" applyFill="1" applyBorder="1" applyAlignment="1">
      <alignment horizontal="left"/>
    </xf>
    <xf numFmtId="0" fontId="23" fillId="2" borderId="0" xfId="26" applyFont="1" applyFill="1" applyBorder="1" applyAlignment="1">
      <alignment horizontal="right"/>
    </xf>
    <xf numFmtId="9" fontId="17" fillId="2" borderId="0" xfId="28" applyNumberFormat="1" applyFont="1" applyFill="1" applyBorder="1"/>
    <xf numFmtId="2" fontId="17" fillId="2" borderId="0" xfId="26" applyNumberFormat="1" applyFont="1" applyFill="1" applyBorder="1"/>
    <xf numFmtId="0" fontId="23" fillId="2" borderId="0" xfId="26" applyFont="1" applyFill="1" applyBorder="1" applyAlignment="1">
      <alignment horizontal="left" vertical="center" wrapText="1"/>
    </xf>
    <xf numFmtId="0" fontId="17" fillId="2" borderId="0" xfId="26" applyFont="1" applyFill="1" applyBorder="1" applyAlignment="1">
      <alignment horizontal="left" vertical="center" wrapText="1"/>
    </xf>
    <xf numFmtId="171" fontId="17" fillId="2" borderId="0" xfId="28" applyNumberFormat="1" applyFont="1" applyFill="1" applyBorder="1" applyAlignment="1">
      <alignment horizontal="center" vertical="center"/>
    </xf>
    <xf numFmtId="0" fontId="23" fillId="2" borderId="0" xfId="26" applyFont="1" applyFill="1" applyBorder="1" applyAlignment="1">
      <alignment vertical="top"/>
    </xf>
    <xf numFmtId="0" fontId="23" fillId="2" borderId="0" xfId="26" applyFont="1" applyFill="1" applyBorder="1" applyAlignment="1">
      <alignment vertical="top" wrapText="1"/>
    </xf>
    <xf numFmtId="170" fontId="23" fillId="2" borderId="0" xfId="26" applyNumberFormat="1" applyFont="1" applyFill="1" applyBorder="1" applyAlignment="1">
      <alignment vertical="top" wrapText="1"/>
    </xf>
    <xf numFmtId="0" fontId="2" fillId="2" borderId="0" xfId="26" applyFont="1" applyFill="1" applyBorder="1"/>
    <xf numFmtId="3" fontId="18" fillId="2" borderId="0" xfId="26" applyNumberFormat="1" applyFont="1" applyFill="1" applyBorder="1" applyAlignment="1">
      <alignment horizontal="center" vertical="center"/>
    </xf>
    <xf numFmtId="3" fontId="17" fillId="2" borderId="0" xfId="26" applyNumberFormat="1" applyFont="1" applyFill="1" applyBorder="1" applyAlignment="1">
      <alignment horizontal="center" vertical="center"/>
    </xf>
    <xf numFmtId="166" fontId="18" fillId="2" borderId="0" xfId="26" applyNumberFormat="1" applyFont="1" applyFill="1" applyBorder="1" applyAlignment="1">
      <alignment horizontal="center" vertical="center"/>
    </xf>
    <xf numFmtId="9" fontId="17" fillId="2" borderId="0" xfId="28" applyNumberFormat="1" applyFont="1" applyFill="1" applyBorder="1" applyAlignment="1">
      <alignment horizontal="center" vertical="center"/>
    </xf>
    <xf numFmtId="9" fontId="17" fillId="2" borderId="0" xfId="28" applyFont="1" applyFill="1" applyBorder="1" applyAlignment="1">
      <alignment horizontal="center" vertical="center"/>
    </xf>
    <xf numFmtId="169" fontId="17" fillId="2" borderId="0" xfId="28" applyNumberFormat="1" applyFont="1" applyFill="1" applyBorder="1" applyAlignment="1">
      <alignment horizontal="center" vertical="center"/>
    </xf>
    <xf numFmtId="0" fontId="23" fillId="2" borderId="0" xfId="26" applyFont="1" applyFill="1" applyBorder="1" applyAlignment="1">
      <alignment horizontal="left"/>
    </xf>
    <xf numFmtId="0" fontId="23" fillId="2" borderId="0" xfId="26" applyFont="1" applyFill="1" applyBorder="1" applyAlignment="1">
      <alignment vertical="center"/>
    </xf>
    <xf numFmtId="0" fontId="23" fillId="2" borderId="5" xfId="26" applyFont="1" applyFill="1" applyBorder="1" applyAlignment="1">
      <alignment vertical="center"/>
    </xf>
    <xf numFmtId="0" fontId="17" fillId="2" borderId="0" xfId="26" applyFont="1" applyFill="1" applyBorder="1" applyAlignment="1">
      <alignment horizontal="left" indent="1"/>
    </xf>
    <xf numFmtId="0" fontId="18" fillId="2" borderId="1" xfId="0" applyFont="1" applyFill="1" applyBorder="1" applyAlignment="1">
      <alignment wrapText="1"/>
    </xf>
    <xf numFmtId="0" fontId="18" fillId="2" borderId="3" xfId="0" applyFont="1" applyFill="1" applyBorder="1" applyAlignment="1">
      <alignment wrapText="1"/>
    </xf>
    <xf numFmtId="0" fontId="17" fillId="2" borderId="1" xfId="0" applyFont="1" applyFill="1" applyBorder="1" applyAlignment="1">
      <alignment wrapText="1"/>
    </xf>
    <xf numFmtId="0" fontId="43" fillId="2" borderId="0" xfId="2" applyFont="1" applyFill="1" applyBorder="1" applyAlignment="1">
      <alignment horizontal="center"/>
    </xf>
    <xf numFmtId="3" fontId="43" fillId="2" borderId="0" xfId="0" applyNumberFormat="1" applyFont="1" applyFill="1" applyBorder="1" applyAlignment="1">
      <alignment horizontal="center" wrapText="1"/>
    </xf>
    <xf numFmtId="0" fontId="43" fillId="2" borderId="0" xfId="2" applyFont="1" applyFill="1" applyBorder="1"/>
    <xf numFmtId="0" fontId="43" fillId="2" borderId="0" xfId="2" applyFont="1" applyFill="1" applyBorder="1" applyAlignment="1">
      <alignment horizontal="center" vertical="center" wrapText="1"/>
    </xf>
    <xf numFmtId="3" fontId="43" fillId="2" borderId="0" xfId="0" applyNumberFormat="1" applyFont="1" applyFill="1" applyBorder="1" applyAlignment="1">
      <alignment horizontal="center" vertical="center"/>
    </xf>
    <xf numFmtId="3" fontId="43" fillId="2" borderId="0" xfId="0" applyNumberFormat="1" applyFont="1" applyFill="1" applyBorder="1" applyAlignment="1">
      <alignment horizontal="center" vertical="center" wrapText="1" readingOrder="1"/>
    </xf>
    <xf numFmtId="0" fontId="43" fillId="2" borderId="0" xfId="0" applyFont="1" applyFill="1" applyBorder="1" applyProtection="1">
      <protection hidden="1"/>
    </xf>
    <xf numFmtId="0" fontId="43" fillId="2" borderId="0" xfId="0" applyFont="1" applyFill="1" applyProtection="1">
      <protection hidden="1"/>
    </xf>
    <xf numFmtId="0" fontId="43" fillId="2" borderId="0" xfId="26" applyFont="1" applyFill="1" applyBorder="1"/>
    <xf numFmtId="0" fontId="17" fillId="2" borderId="5" xfId="0" applyFont="1" applyFill="1" applyBorder="1" applyAlignment="1">
      <alignment horizontal="center"/>
    </xf>
    <xf numFmtId="0" fontId="51" fillId="2" borderId="0" xfId="1" applyFont="1" applyFill="1" applyAlignment="1" applyProtection="1">
      <alignment horizontal="center" vertical="center"/>
    </xf>
    <xf numFmtId="10" fontId="43" fillId="2" borderId="0" xfId="3" applyNumberFormat="1" applyFont="1" applyFill="1" applyBorder="1"/>
    <xf numFmtId="0" fontId="46" fillId="2" borderId="0" xfId="26" applyFont="1" applyFill="1" applyBorder="1"/>
    <xf numFmtId="0" fontId="0" fillId="2" borderId="0" xfId="0" applyFill="1" applyBorder="1" applyAlignment="1" applyProtection="1">
      <protection hidden="1"/>
    </xf>
    <xf numFmtId="0" fontId="34" fillId="2" borderId="0" xfId="0" applyFont="1" applyFill="1" applyBorder="1" applyAlignment="1" applyProtection="1">
      <protection hidden="1"/>
    </xf>
    <xf numFmtId="0" fontId="0" fillId="2" borderId="0" xfId="0" applyFont="1" applyFill="1" applyBorder="1" applyAlignment="1" applyProtection="1">
      <protection hidden="1"/>
    </xf>
    <xf numFmtId="0" fontId="0" fillId="2" borderId="0" xfId="0" applyFont="1" applyFill="1" applyBorder="1" applyProtection="1">
      <protection hidden="1"/>
    </xf>
    <xf numFmtId="0" fontId="45" fillId="2" borderId="0" xfId="0" applyFont="1" applyFill="1" applyBorder="1" applyAlignment="1" applyProtection="1">
      <protection hidden="1"/>
    </xf>
    <xf numFmtId="0" fontId="58" fillId="2" borderId="0" xfId="0" applyFont="1" applyFill="1" applyBorder="1" applyAlignment="1" applyProtection="1">
      <protection hidden="1"/>
    </xf>
    <xf numFmtId="0" fontId="58" fillId="2" borderId="0" xfId="0" applyFont="1" applyFill="1" applyBorder="1" applyProtection="1">
      <protection hidden="1"/>
    </xf>
    <xf numFmtId="0" fontId="50" fillId="2" borderId="0" xfId="0" applyFont="1" applyFill="1" applyAlignment="1">
      <alignment horizontal="right" vertical="center"/>
    </xf>
    <xf numFmtId="0" fontId="51" fillId="2" borderId="0" xfId="1" applyFont="1" applyFill="1" applyAlignment="1" applyProtection="1">
      <alignment horizontal="center" vertical="center"/>
    </xf>
    <xf numFmtId="0" fontId="57" fillId="2" borderId="0" xfId="0" applyFont="1" applyFill="1"/>
    <xf numFmtId="0" fontId="59" fillId="2" borderId="0" xfId="0" applyFont="1" applyFill="1" applyBorder="1"/>
    <xf numFmtId="0" fontId="59" fillId="2" borderId="0" xfId="26" applyFont="1" applyFill="1" applyBorder="1"/>
    <xf numFmtId="0" fontId="60" fillId="2" borderId="0" xfId="26" applyFont="1" applyFill="1" applyBorder="1"/>
    <xf numFmtId="0" fontId="42" fillId="2" borderId="0" xfId="0" applyFont="1" applyFill="1" applyAlignment="1" applyProtection="1">
      <alignment horizontal="center" wrapText="1"/>
      <protection hidden="1"/>
    </xf>
    <xf numFmtId="0" fontId="43" fillId="2" borderId="0" xfId="0" applyFont="1" applyFill="1" applyAlignment="1" applyProtection="1">
      <alignment horizontal="center"/>
      <protection hidden="1"/>
    </xf>
    <xf numFmtId="0" fontId="42" fillId="4" borderId="0" xfId="0" applyFont="1" applyFill="1" applyAlignment="1" applyProtection="1">
      <alignment horizontal="center"/>
      <protection hidden="1"/>
    </xf>
    <xf numFmtId="0" fontId="46" fillId="2" borderId="0" xfId="0" applyFont="1" applyFill="1" applyBorder="1" applyAlignment="1" applyProtection="1">
      <alignment horizontal="center"/>
      <protection hidden="1"/>
    </xf>
    <xf numFmtId="0" fontId="43" fillId="2" borderId="0" xfId="0" applyFont="1" applyFill="1" applyAlignment="1" applyProtection="1">
      <alignment horizontal="left"/>
      <protection hidden="1"/>
    </xf>
    <xf numFmtId="0" fontId="46" fillId="2" borderId="0" xfId="0" applyFont="1" applyFill="1" applyBorder="1" applyAlignment="1" applyProtection="1">
      <alignment horizontal="left"/>
      <protection hidden="1"/>
    </xf>
    <xf numFmtId="0" fontId="42" fillId="2" borderId="0" xfId="0" applyFont="1" applyFill="1" applyAlignment="1" applyProtection="1">
      <alignment horizontal="center"/>
      <protection hidden="1"/>
    </xf>
    <xf numFmtId="0" fontId="42" fillId="4" borderId="0" xfId="0" applyFont="1" applyFill="1" applyAlignment="1" applyProtection="1">
      <alignment horizontal="center" wrapText="1"/>
      <protection hidden="1"/>
    </xf>
    <xf numFmtId="0" fontId="61" fillId="7" borderId="0" xfId="1" applyFont="1" applyFill="1" applyAlignment="1" applyProtection="1">
      <protection hidden="1"/>
    </xf>
    <xf numFmtId="0" fontId="51" fillId="2" borderId="0" xfId="1" applyFont="1" applyFill="1" applyBorder="1" applyAlignment="1" applyProtection="1">
      <alignment horizontal="center" vertical="center"/>
    </xf>
    <xf numFmtId="0" fontId="53" fillId="2" borderId="0" xfId="0" applyFont="1" applyFill="1" applyBorder="1" applyAlignment="1">
      <alignment horizontal="center"/>
    </xf>
    <xf numFmtId="0" fontId="50" fillId="2" borderId="0" xfId="0" applyFont="1" applyFill="1" applyAlignment="1">
      <alignment horizontal="right" vertical="center"/>
    </xf>
    <xf numFmtId="0" fontId="62" fillId="2" borderId="0" xfId="0" applyFont="1" applyFill="1" applyBorder="1"/>
    <xf numFmtId="3" fontId="17" fillId="2" borderId="0" xfId="0" applyNumberFormat="1" applyFont="1" applyFill="1" applyAlignment="1">
      <alignment horizontal="right"/>
    </xf>
    <xf numFmtId="3" fontId="17" fillId="2" borderId="0" xfId="4" applyNumberFormat="1" applyFont="1" applyFill="1" applyBorder="1" applyAlignment="1">
      <alignment horizontal="center" wrapText="1"/>
    </xf>
    <xf numFmtId="3" fontId="23" fillId="2" borderId="0" xfId="0" applyNumberFormat="1" applyFont="1" applyFill="1" applyBorder="1"/>
    <xf numFmtId="166" fontId="23" fillId="2" borderId="0" xfId="0" applyNumberFormat="1" applyFont="1" applyFill="1" applyBorder="1" applyAlignment="1">
      <alignment horizontal="center"/>
    </xf>
    <xf numFmtId="0" fontId="23" fillId="2" borderId="0" xfId="0" applyFont="1" applyFill="1" applyBorder="1" applyAlignment="1">
      <alignment horizontal="center"/>
    </xf>
    <xf numFmtId="4" fontId="23" fillId="2" borderId="0" xfId="0" applyNumberFormat="1" applyFont="1" applyFill="1" applyBorder="1"/>
    <xf numFmtId="2" fontId="23" fillId="2" borderId="0" xfId="0" applyNumberFormat="1" applyFont="1" applyFill="1" applyBorder="1"/>
    <xf numFmtId="4" fontId="17" fillId="2" borderId="0" xfId="0" applyNumberFormat="1" applyFont="1" applyFill="1" applyBorder="1"/>
    <xf numFmtId="1" fontId="19" fillId="2" borderId="0" xfId="0" applyNumberFormat="1" applyFont="1" applyFill="1" applyBorder="1" applyAlignment="1">
      <alignment horizontal="center" vertical="center" wrapText="1" readingOrder="1"/>
    </xf>
    <xf numFmtId="1" fontId="17" fillId="2" borderId="0" xfId="0" applyNumberFormat="1" applyFont="1" applyFill="1" applyBorder="1" applyAlignment="1">
      <alignment horizontal="center" vertical="center" readingOrder="1"/>
    </xf>
    <xf numFmtId="0" fontId="23" fillId="2" borderId="0" xfId="26" applyFont="1" applyFill="1" applyBorder="1" applyAlignment="1"/>
    <xf numFmtId="0" fontId="23" fillId="2" borderId="0" xfId="26" applyFont="1" applyFill="1" applyBorder="1" applyAlignment="1">
      <alignment horizontal="center" vertical="center" wrapText="1"/>
    </xf>
    <xf numFmtId="0" fontId="29" fillId="2" borderId="5" xfId="0" applyFont="1" applyFill="1" applyBorder="1" applyAlignment="1">
      <alignment horizontal="center"/>
    </xf>
    <xf numFmtId="0" fontId="29" fillId="3" borderId="5" xfId="0" applyFont="1" applyFill="1" applyBorder="1" applyAlignment="1">
      <alignment horizontal="center"/>
    </xf>
    <xf numFmtId="3" fontId="0" fillId="2" borderId="0" xfId="0" applyNumberFormat="1" applyFont="1" applyFill="1" applyBorder="1" applyAlignment="1">
      <alignment horizontal="center"/>
    </xf>
    <xf numFmtId="0" fontId="0" fillId="2" borderId="0" xfId="0" applyFont="1" applyFill="1" applyBorder="1" applyAlignment="1">
      <alignment horizontal="center"/>
    </xf>
    <xf numFmtId="2" fontId="0" fillId="2" borderId="0" xfId="0" applyNumberFormat="1" applyFont="1" applyFill="1" applyBorder="1" applyAlignment="1">
      <alignment horizontal="center"/>
    </xf>
    <xf numFmtId="3" fontId="0" fillId="2" borderId="0" xfId="0" applyNumberFormat="1" applyFont="1" applyFill="1" applyBorder="1" applyAlignment="1" applyProtection="1">
      <alignment horizontal="center"/>
      <protection hidden="1"/>
    </xf>
    <xf numFmtId="173" fontId="63" fillId="2" borderId="0" xfId="34" applyNumberFormat="1" applyFont="1" applyFill="1" applyBorder="1" applyAlignment="1">
      <alignment horizontal="right" wrapText="1"/>
    </xf>
    <xf numFmtId="0" fontId="17" fillId="2" borderId="5" xfId="0" applyFont="1" applyFill="1" applyBorder="1" applyAlignment="1">
      <alignment horizontal="center"/>
    </xf>
    <xf numFmtId="0" fontId="17" fillId="0" borderId="8" xfId="0" applyFont="1" applyFill="1" applyBorder="1" applyAlignment="1">
      <alignment wrapText="1"/>
    </xf>
    <xf numFmtId="0" fontId="67" fillId="0" borderId="8" xfId="0" applyFont="1" applyFill="1" applyBorder="1" applyAlignment="1">
      <alignment wrapText="1"/>
    </xf>
    <xf numFmtId="0" fontId="18" fillId="0" borderId="9" xfId="0" applyFont="1" applyFill="1" applyBorder="1" applyAlignment="1">
      <alignment wrapText="1"/>
    </xf>
    <xf numFmtId="0" fontId="68" fillId="0" borderId="9" xfId="0" applyFont="1" applyFill="1" applyBorder="1" applyAlignment="1">
      <alignment wrapText="1"/>
    </xf>
    <xf numFmtId="0" fontId="17" fillId="0" borderId="0" xfId="0" applyFont="1" applyFill="1" applyBorder="1" applyAlignment="1">
      <alignment wrapText="1"/>
    </xf>
    <xf numFmtId="0" fontId="50" fillId="2" borderId="0" xfId="0" applyFont="1" applyFill="1" applyAlignment="1">
      <alignment horizontal="right" vertical="center"/>
    </xf>
    <xf numFmtId="0" fontId="18" fillId="2" borderId="0" xfId="0" applyFont="1" applyFill="1"/>
    <xf numFmtId="0" fontId="69" fillId="2" borderId="0" xfId="0" applyFont="1" applyFill="1" applyBorder="1" applyAlignment="1">
      <alignment horizontal="left" vertical="center" wrapText="1"/>
    </xf>
    <xf numFmtId="0" fontId="69" fillId="2" borderId="5" xfId="0" applyFont="1" applyFill="1" applyBorder="1" applyAlignment="1">
      <alignment horizontal="left" vertical="center" wrapText="1"/>
    </xf>
    <xf numFmtId="4" fontId="67" fillId="0" borderId="0" xfId="6" applyNumberFormat="1" applyFont="1" applyAlignment="1">
      <alignment horizontal="right"/>
    </xf>
    <xf numFmtId="0" fontId="53" fillId="2" borderId="0" xfId="0" applyFont="1" applyFill="1" applyBorder="1" applyAlignment="1">
      <alignment horizontal="center"/>
    </xf>
    <xf numFmtId="174" fontId="17" fillId="2" borderId="0" xfId="28" applyNumberFormat="1" applyFont="1" applyFill="1" applyBorder="1"/>
    <xf numFmtId="175" fontId="17" fillId="2" borderId="0" xfId="28" applyNumberFormat="1" applyFont="1" applyFill="1" applyBorder="1"/>
    <xf numFmtId="0" fontId="57" fillId="2" borderId="0" xfId="0" applyFont="1" applyFill="1" applyBorder="1" applyAlignment="1">
      <alignment wrapText="1"/>
    </xf>
    <xf numFmtId="0" fontId="53" fillId="2" borderId="0" xfId="0" applyFont="1" applyFill="1" applyBorder="1" applyAlignment="1">
      <alignment horizontal="center"/>
    </xf>
    <xf numFmtId="0" fontId="17" fillId="8" borderId="0" xfId="0" applyFont="1" applyFill="1" applyBorder="1" applyAlignment="1">
      <alignment horizontal="left"/>
    </xf>
    <xf numFmtId="0" fontId="57" fillId="0" borderId="0" xfId="0" applyFont="1" applyFill="1" applyBorder="1" applyAlignment="1">
      <alignment horizontal="left" vertical="center"/>
    </xf>
    <xf numFmtId="0" fontId="43" fillId="0" borderId="0" xfId="0" applyFont="1" applyFill="1" applyBorder="1"/>
    <xf numFmtId="0" fontId="43" fillId="0" borderId="0" xfId="0" applyFont="1" applyFill="1" applyBorder="1" applyAlignment="1">
      <alignment horizontal="left"/>
    </xf>
    <xf numFmtId="0" fontId="57" fillId="0" borderId="0" xfId="0" applyFont="1" applyFill="1" applyBorder="1" applyAlignment="1">
      <alignment horizontal="left" vertical="center" wrapText="1"/>
    </xf>
    <xf numFmtId="0" fontId="70" fillId="2" borderId="0" xfId="0" applyFont="1" applyFill="1" applyAlignment="1" applyProtection="1">
      <alignment vertical="top" wrapText="1"/>
      <protection hidden="1"/>
    </xf>
    <xf numFmtId="0" fontId="71" fillId="2" borderId="0" xfId="0" applyFont="1" applyFill="1" applyBorder="1" applyAlignment="1">
      <alignment horizontal="left"/>
    </xf>
    <xf numFmtId="0" fontId="45" fillId="4" borderId="0" xfId="0" applyFont="1" applyFill="1" applyBorder="1" applyAlignment="1" applyProtection="1">
      <protection hidden="1"/>
    </xf>
    <xf numFmtId="0" fontId="18" fillId="3" borderId="0" xfId="0" applyFont="1" applyFill="1" applyBorder="1" applyAlignment="1">
      <alignment horizontal="center" vertical="center"/>
    </xf>
    <xf numFmtId="3" fontId="18" fillId="3" borderId="1" xfId="0" applyNumberFormat="1" applyFont="1" applyFill="1" applyBorder="1" applyAlignment="1">
      <alignment horizontal="center" vertical="center" wrapText="1"/>
    </xf>
    <xf numFmtId="0" fontId="43" fillId="0" borderId="0" xfId="0" applyFont="1" applyFill="1" applyBorder="1" applyAlignment="1">
      <alignment wrapText="1"/>
    </xf>
    <xf numFmtId="0" fontId="57" fillId="0" borderId="0" xfId="0" applyFont="1" applyFill="1" applyBorder="1" applyAlignment="1">
      <alignment wrapText="1"/>
    </xf>
    <xf numFmtId="0" fontId="17" fillId="2" borderId="1" xfId="0" applyFont="1" applyFill="1" applyBorder="1" applyAlignment="1">
      <alignment horizontal="right"/>
    </xf>
    <xf numFmtId="3" fontId="17" fillId="2" borderId="1" xfId="0" applyNumberFormat="1" applyFont="1" applyFill="1" applyBorder="1" applyAlignment="1">
      <alignment horizontal="right" wrapText="1"/>
    </xf>
    <xf numFmtId="0" fontId="17" fillId="2" borderId="1" xfId="0" applyFont="1" applyFill="1" applyBorder="1"/>
    <xf numFmtId="3" fontId="26" fillId="2" borderId="0" xfId="0" applyNumberFormat="1" applyFont="1" applyFill="1" applyBorder="1" applyAlignment="1">
      <alignment horizontal="right" wrapText="1"/>
    </xf>
    <xf numFmtId="0" fontId="57" fillId="0" borderId="0" xfId="0" applyFont="1" applyFill="1" applyBorder="1"/>
    <xf numFmtId="0" fontId="52" fillId="0" borderId="0" xfId="1" applyFont="1" applyFill="1" applyAlignment="1" applyProtection="1">
      <alignment horizontal="center" vertical="center"/>
    </xf>
    <xf numFmtId="0" fontId="48" fillId="0" borderId="0" xfId="0" applyFont="1" applyFill="1" applyBorder="1"/>
    <xf numFmtId="0" fontId="57" fillId="0" borderId="0" xfId="0" applyFont="1" applyFill="1" applyBorder="1" applyAlignment="1"/>
    <xf numFmtId="0" fontId="43" fillId="0" borderId="0" xfId="0" applyFont="1" applyFill="1" applyBorder="1" applyAlignment="1">
      <alignment horizontal="center"/>
    </xf>
    <xf numFmtId="0" fontId="48" fillId="0" borderId="0" xfId="0" applyFont="1" applyFill="1" applyBorder="1" applyAlignment="1">
      <alignment wrapText="1"/>
    </xf>
    <xf numFmtId="0" fontId="43" fillId="0" borderId="8" xfId="0" applyFont="1" applyFill="1" applyBorder="1" applyAlignment="1">
      <alignment wrapText="1"/>
    </xf>
    <xf numFmtId="0" fontId="18" fillId="2" borderId="0" xfId="0" applyFont="1" applyFill="1" applyBorder="1" applyAlignment="1">
      <alignment horizontal="center" wrapText="1" readingOrder="1"/>
    </xf>
    <xf numFmtId="0" fontId="17" fillId="4" borderId="0" xfId="0" applyFont="1" applyFill="1" applyBorder="1" applyProtection="1">
      <protection hidden="1"/>
    </xf>
    <xf numFmtId="0" fontId="43" fillId="2" borderId="0" xfId="2" applyFont="1" applyFill="1" applyBorder="1" applyAlignment="1">
      <alignment vertical="center" wrapText="1"/>
    </xf>
    <xf numFmtId="0" fontId="57" fillId="2" borderId="0" xfId="0" applyFont="1" applyFill="1" applyBorder="1" applyAlignment="1">
      <alignment horizontal="justify" wrapText="1"/>
    </xf>
    <xf numFmtId="0" fontId="30" fillId="2" borderId="5" xfId="26" applyFont="1" applyFill="1" applyBorder="1" applyAlignment="1">
      <alignment horizontal="center" vertical="center" wrapText="1"/>
    </xf>
    <xf numFmtId="0" fontId="30" fillId="3" borderId="5" xfId="26" applyFont="1" applyFill="1" applyBorder="1" applyAlignment="1">
      <alignment horizontal="center" vertical="center" wrapText="1"/>
    </xf>
    <xf numFmtId="168" fontId="21" fillId="2" borderId="0" xfId="0" applyNumberFormat="1" applyFont="1" applyFill="1" applyBorder="1"/>
    <xf numFmtId="0" fontId="57" fillId="2" borderId="0" xfId="0" applyFont="1" applyFill="1" applyBorder="1" applyAlignment="1">
      <alignment horizontal="center" wrapText="1"/>
    </xf>
    <xf numFmtId="0" fontId="45" fillId="4" borderId="0" xfId="0" applyFont="1" applyFill="1" applyBorder="1" applyAlignment="1" applyProtection="1">
      <protection hidden="1"/>
    </xf>
    <xf numFmtId="0" fontId="44" fillId="2" borderId="0" xfId="0" applyFont="1" applyFill="1" applyBorder="1" applyAlignment="1" applyProtection="1">
      <alignment horizontal="center"/>
      <protection hidden="1"/>
    </xf>
    <xf numFmtId="0" fontId="17" fillId="2" borderId="0" xfId="0" applyFont="1" applyFill="1" applyBorder="1" applyAlignment="1" applyProtection="1">
      <alignment horizontal="center"/>
      <protection hidden="1"/>
    </xf>
    <xf numFmtId="173" fontId="17" fillId="2" borderId="0" xfId="0" applyNumberFormat="1" applyFont="1" applyFill="1" applyBorder="1" applyAlignment="1" applyProtection="1">
      <alignment horizontal="center"/>
      <protection hidden="1"/>
    </xf>
    <xf numFmtId="173" fontId="17" fillId="2" borderId="0" xfId="0" quotePrefix="1" applyNumberFormat="1" applyFont="1" applyFill="1" applyBorder="1" applyAlignment="1" applyProtection="1">
      <alignment horizontal="center"/>
      <protection hidden="1"/>
    </xf>
    <xf numFmtId="0" fontId="17" fillId="2" borderId="0" xfId="0" quotePrefix="1" applyFont="1" applyFill="1" applyBorder="1" applyAlignment="1" applyProtection="1">
      <alignment horizontal="center"/>
      <protection hidden="1"/>
    </xf>
    <xf numFmtId="0" fontId="17" fillId="3" borderId="1" xfId="0" applyFont="1" applyFill="1" applyBorder="1"/>
    <xf numFmtId="3" fontId="26" fillId="2" borderId="0" xfId="0" applyNumberFormat="1" applyFont="1" applyFill="1" applyBorder="1" applyAlignment="1">
      <alignment horizontal="center"/>
    </xf>
    <xf numFmtId="167" fontId="17" fillId="2" borderId="0" xfId="4" applyNumberFormat="1" applyFont="1" applyFill="1" applyBorder="1" applyAlignment="1">
      <alignment vertical="center"/>
    </xf>
    <xf numFmtId="167" fontId="17" fillId="3" borderId="0" xfId="4" applyNumberFormat="1" applyFont="1" applyFill="1" applyBorder="1" applyAlignment="1">
      <alignment vertical="center"/>
    </xf>
    <xf numFmtId="0" fontId="17" fillId="0" borderId="0" xfId="0" applyFont="1" applyFill="1" applyBorder="1" applyAlignment="1">
      <alignment horizontal="left"/>
    </xf>
    <xf numFmtId="0" fontId="72" fillId="6" borderId="0" xfId="29" applyFont="1" applyFill="1" applyAlignment="1">
      <alignment vertical="center"/>
    </xf>
    <xf numFmtId="0" fontId="50" fillId="2" borderId="0" xfId="0" applyFont="1" applyFill="1" applyAlignment="1">
      <alignment horizontal="right" vertical="center"/>
    </xf>
    <xf numFmtId="0" fontId="51" fillId="3" borderId="0" xfId="1" applyFont="1" applyFill="1" applyAlignment="1" applyProtection="1">
      <alignment horizontal="center" vertical="center"/>
    </xf>
    <xf numFmtId="0" fontId="53" fillId="2" borderId="0" xfId="0" applyFont="1" applyFill="1" applyBorder="1" applyAlignment="1">
      <alignment horizontal="center"/>
    </xf>
    <xf numFmtId="0" fontId="51" fillId="2" borderId="0" xfId="1" applyFont="1" applyFill="1" applyAlignment="1" applyProtection="1">
      <alignment horizontal="center" vertical="center"/>
    </xf>
    <xf numFmtId="0" fontId="17" fillId="2" borderId="5" xfId="0" applyFont="1" applyFill="1" applyBorder="1" applyAlignment="1">
      <alignment horizontal="right"/>
    </xf>
    <xf numFmtId="0" fontId="51" fillId="2" borderId="0" xfId="1" applyFont="1" applyFill="1" applyAlignment="1" applyProtection="1">
      <alignment horizontal="right" vertical="center"/>
    </xf>
    <xf numFmtId="0" fontId="52" fillId="2" borderId="0" xfId="1" applyFont="1" applyFill="1" applyAlignment="1" applyProtection="1">
      <alignment horizontal="center" vertical="center"/>
    </xf>
    <xf numFmtId="0" fontId="73" fillId="2" borderId="0" xfId="0" applyFont="1" applyFill="1" applyBorder="1" applyAlignment="1">
      <alignment vertical="center"/>
    </xf>
    <xf numFmtId="0" fontId="73" fillId="2" borderId="0" xfId="0" applyFont="1" applyFill="1" applyAlignment="1">
      <alignment vertical="center"/>
    </xf>
    <xf numFmtId="0" fontId="74" fillId="2" borderId="0" xfId="0" applyFont="1" applyFill="1" applyAlignment="1">
      <alignment vertical="center"/>
    </xf>
    <xf numFmtId="0" fontId="74" fillId="0" borderId="0" xfId="0" applyFont="1" applyBorder="1" applyAlignment="1">
      <alignment vertical="center"/>
    </xf>
    <xf numFmtId="0" fontId="74" fillId="0" borderId="0" xfId="0" applyFont="1" applyAlignment="1">
      <alignment vertical="center"/>
    </xf>
    <xf numFmtId="0" fontId="43" fillId="2" borderId="0" xfId="2" quotePrefix="1" applyFont="1" applyFill="1" applyBorder="1"/>
    <xf numFmtId="173" fontId="66" fillId="2" borderId="0" xfId="36" applyNumberFormat="1" applyFont="1" applyFill="1" applyBorder="1" applyAlignment="1">
      <alignment horizontal="center"/>
    </xf>
    <xf numFmtId="166" fontId="17" fillId="2" borderId="0" xfId="0" applyNumberFormat="1" applyFont="1" applyFill="1" applyBorder="1" applyAlignment="1">
      <alignment horizontal="center" vertical="center"/>
    </xf>
    <xf numFmtId="0" fontId="30" fillId="2" borderId="0" xfId="26" applyFont="1" applyFill="1" applyBorder="1" applyAlignment="1">
      <alignment horizontal="center" vertical="center"/>
    </xf>
    <xf numFmtId="0" fontId="18" fillId="2" borderId="0" xfId="26" applyFont="1" applyFill="1" applyBorder="1" applyAlignment="1">
      <alignment horizontal="center" vertical="center"/>
    </xf>
    <xf numFmtId="0" fontId="23" fillId="2" borderId="0" xfId="26" applyFont="1" applyFill="1" applyBorder="1" applyAlignment="1">
      <alignment horizontal="center" vertical="center"/>
    </xf>
    <xf numFmtId="0" fontId="18" fillId="2" borderId="0" xfId="0" applyFont="1" applyFill="1"/>
    <xf numFmtId="0" fontId="45" fillId="2" borderId="0" xfId="0" applyFont="1" applyFill="1" applyBorder="1" applyAlignment="1" applyProtection="1">
      <alignment horizontal="center"/>
      <protection hidden="1"/>
    </xf>
    <xf numFmtId="0" fontId="45" fillId="4" borderId="0" xfId="0" applyFont="1" applyFill="1" applyBorder="1" applyAlignment="1" applyProtection="1">
      <protection hidden="1"/>
    </xf>
    <xf numFmtId="0" fontId="44" fillId="2" borderId="0" xfId="0" applyFont="1" applyFill="1" applyBorder="1" applyAlignment="1" applyProtection="1">
      <alignment horizontal="center"/>
      <protection hidden="1"/>
    </xf>
    <xf numFmtId="3" fontId="26" fillId="2" borderId="2" xfId="0" applyNumberFormat="1" applyFont="1" applyFill="1" applyBorder="1" applyAlignment="1">
      <alignment horizontal="right" wrapText="1"/>
    </xf>
    <xf numFmtId="0" fontId="43" fillId="8" borderId="0" xfId="2" applyFont="1" applyFill="1" applyBorder="1"/>
    <xf numFmtId="0" fontId="43" fillId="8" borderId="0" xfId="2" applyFont="1" applyFill="1" applyBorder="1" applyAlignment="1">
      <alignment horizontal="center"/>
    </xf>
    <xf numFmtId="0" fontId="57" fillId="8" borderId="0" xfId="2" applyFont="1" applyFill="1" applyBorder="1" applyAlignment="1"/>
    <xf numFmtId="0" fontId="57" fillId="8" borderId="0" xfId="0" applyFont="1" applyFill="1" applyBorder="1" applyAlignment="1"/>
    <xf numFmtId="0" fontId="57" fillId="8" borderId="0" xfId="0" applyFont="1" applyFill="1" applyBorder="1" applyAlignment="1">
      <alignment horizontal="center"/>
    </xf>
    <xf numFmtId="0" fontId="43" fillId="8" borderId="0" xfId="0" applyFont="1" applyFill="1" applyBorder="1" applyAlignment="1">
      <alignment wrapText="1"/>
    </xf>
    <xf numFmtId="3" fontId="43" fillId="8" borderId="0" xfId="0" applyNumberFormat="1" applyFont="1" applyFill="1" applyBorder="1" applyAlignment="1">
      <alignment horizontal="center" wrapText="1"/>
    </xf>
    <xf numFmtId="0" fontId="57" fillId="8" borderId="0" xfId="2" applyFont="1" applyFill="1" applyBorder="1" applyAlignment="1">
      <alignment horizontal="center"/>
    </xf>
    <xf numFmtId="0" fontId="57" fillId="8" borderId="0" xfId="2" applyFont="1" applyFill="1" applyBorder="1" applyAlignment="1">
      <alignment horizontal="left" vertical="center" wrapText="1"/>
    </xf>
    <xf numFmtId="0" fontId="57" fillId="8" borderId="0" xfId="2" applyFont="1" applyFill="1" applyBorder="1" applyAlignment="1">
      <alignment horizontal="center" vertical="center" wrapText="1"/>
    </xf>
    <xf numFmtId="0" fontId="43" fillId="8" borderId="0" xfId="2" applyFont="1" applyFill="1" applyBorder="1" applyAlignment="1">
      <alignment vertical="center" wrapText="1"/>
    </xf>
    <xf numFmtId="0" fontId="43" fillId="8" borderId="0" xfId="2" applyFont="1" applyFill="1" applyBorder="1" applyAlignment="1">
      <alignment horizontal="center" vertical="center" wrapText="1"/>
    </xf>
    <xf numFmtId="0" fontId="57" fillId="8" borderId="0" xfId="0" applyFont="1" applyFill="1" applyBorder="1" applyAlignment="1">
      <alignment horizontal="justify" wrapText="1"/>
    </xf>
    <xf numFmtId="3" fontId="43" fillId="8" borderId="0" xfId="0" applyNumberFormat="1" applyFont="1" applyFill="1" applyBorder="1" applyAlignment="1">
      <alignment horizontal="center" vertical="center"/>
    </xf>
    <xf numFmtId="0" fontId="23" fillId="8" borderId="0" xfId="2" applyFont="1" applyFill="1" applyBorder="1"/>
    <xf numFmtId="0" fontId="23" fillId="8" borderId="0" xfId="2" applyFont="1" applyFill="1" applyBorder="1" applyAlignment="1">
      <alignment horizontal="center"/>
    </xf>
    <xf numFmtId="0" fontId="23" fillId="2" borderId="0" xfId="2" applyFont="1" applyFill="1" applyBorder="1" applyAlignment="1">
      <alignment horizontal="center"/>
    </xf>
    <xf numFmtId="0" fontId="23" fillId="2" borderId="0" xfId="2" applyFont="1" applyFill="1" applyBorder="1"/>
    <xf numFmtId="3" fontId="26" fillId="2" borderId="0" xfId="4" applyNumberFormat="1" applyFont="1" applyFill="1" applyBorder="1" applyAlignment="1">
      <alignment horizontal="center" wrapText="1"/>
    </xf>
    <xf numFmtId="0" fontId="72" fillId="2" borderId="0" xfId="26" applyFont="1" applyFill="1" applyBorder="1" applyAlignment="1">
      <alignment horizontal="center"/>
    </xf>
    <xf numFmtId="0" fontId="33" fillId="2" borderId="0" xfId="26" applyFont="1" applyFill="1" applyBorder="1" applyAlignment="1">
      <alignment horizontal="center" vertical="center"/>
    </xf>
    <xf numFmtId="174" fontId="23" fillId="2" borderId="0" xfId="26" applyNumberFormat="1" applyFont="1" applyFill="1" applyBorder="1" applyAlignment="1">
      <alignment horizontal="center" vertical="center"/>
    </xf>
    <xf numFmtId="9" fontId="23" fillId="2" borderId="0" xfId="26" applyNumberFormat="1" applyFont="1" applyFill="1" applyBorder="1" applyAlignment="1">
      <alignment horizontal="center" vertical="center"/>
    </xf>
    <xf numFmtId="171" fontId="23" fillId="2" borderId="0" xfId="26" applyNumberFormat="1" applyFont="1" applyFill="1" applyBorder="1" applyAlignment="1">
      <alignment horizontal="center" vertical="center"/>
    </xf>
    <xf numFmtId="169" fontId="23" fillId="2" borderId="0" xfId="26" applyNumberFormat="1" applyFont="1" applyFill="1" applyBorder="1" applyAlignment="1">
      <alignment horizontal="center" vertical="center"/>
    </xf>
    <xf numFmtId="3" fontId="23" fillId="2" borderId="0" xfId="26" applyNumberFormat="1" applyFont="1" applyFill="1" applyBorder="1" applyAlignment="1">
      <alignment horizontal="center" vertical="center"/>
    </xf>
    <xf numFmtId="0" fontId="53" fillId="2" borderId="0" xfId="0" applyFont="1" applyFill="1" applyAlignment="1">
      <alignment vertical="center"/>
    </xf>
    <xf numFmtId="0" fontId="18" fillId="2" borderId="0" xfId="0" applyFont="1" applyFill="1" applyBorder="1" applyAlignment="1">
      <alignment horizontal="left" wrapText="1"/>
    </xf>
    <xf numFmtId="0" fontId="17" fillId="3" borderId="5" xfId="0" applyFont="1" applyFill="1" applyBorder="1"/>
    <xf numFmtId="3" fontId="17" fillId="3" borderId="1" xfId="0" applyNumberFormat="1" applyFont="1" applyFill="1" applyBorder="1" applyAlignment="1">
      <alignment horizontal="center" vertical="center"/>
    </xf>
    <xf numFmtId="3" fontId="17" fillId="3" borderId="0" xfId="0" applyNumberFormat="1" applyFont="1" applyFill="1" applyBorder="1" applyAlignment="1">
      <alignment horizontal="center"/>
    </xf>
    <xf numFmtId="4" fontId="17" fillId="3" borderId="0" xfId="0" applyNumberFormat="1" applyFont="1" applyFill="1" applyBorder="1" applyAlignment="1">
      <alignment horizontal="center"/>
    </xf>
    <xf numFmtId="0" fontId="17" fillId="2" borderId="0" xfId="26" applyFont="1" applyFill="1" applyBorder="1" applyAlignment="1">
      <alignment horizontal="left" vertical="center" wrapText="1" indent="1"/>
    </xf>
    <xf numFmtId="0" fontId="17" fillId="2" borderId="0" xfId="26" applyFont="1" applyFill="1" applyBorder="1" applyAlignment="1">
      <alignment horizontal="left" vertical="center" indent="1"/>
    </xf>
    <xf numFmtId="0" fontId="18" fillId="2" borderId="0" xfId="26" applyFont="1" applyFill="1" applyBorder="1" applyAlignment="1">
      <alignment horizontal="left" vertical="center"/>
    </xf>
    <xf numFmtId="0" fontId="30" fillId="2" borderId="5" xfId="26" applyFont="1" applyFill="1" applyBorder="1" applyAlignment="1">
      <alignment horizontal="center" vertical="center"/>
    </xf>
    <xf numFmtId="0" fontId="30" fillId="2" borderId="5" xfId="26" applyFont="1" applyFill="1" applyBorder="1" applyAlignment="1">
      <alignment horizontal="center"/>
    </xf>
    <xf numFmtId="3" fontId="18" fillId="3" borderId="0" xfId="26" applyNumberFormat="1" applyFont="1" applyFill="1" applyBorder="1" applyAlignment="1">
      <alignment horizontal="center" vertical="center"/>
    </xf>
    <xf numFmtId="3" fontId="17" fillId="3" borderId="0" xfId="26" applyNumberFormat="1" applyFont="1" applyFill="1" applyBorder="1" applyAlignment="1">
      <alignment horizontal="center" vertical="center"/>
    </xf>
    <xf numFmtId="166" fontId="18" fillId="3" borderId="0" xfId="26" applyNumberFormat="1" applyFont="1" applyFill="1" applyBorder="1" applyAlignment="1">
      <alignment horizontal="center" vertical="center"/>
    </xf>
    <xf numFmtId="9" fontId="17" fillId="3" borderId="0" xfId="28" applyFont="1" applyFill="1" applyBorder="1" applyAlignment="1">
      <alignment horizontal="center" vertical="center"/>
    </xf>
    <xf numFmtId="0" fontId="33" fillId="3" borderId="0" xfId="26" applyFont="1" applyFill="1" applyBorder="1" applyAlignment="1">
      <alignment horizontal="center" vertical="center"/>
    </xf>
    <xf numFmtId="174" fontId="23" fillId="3" borderId="0" xfId="26" applyNumberFormat="1" applyFont="1" applyFill="1" applyBorder="1" applyAlignment="1">
      <alignment horizontal="center" vertical="center"/>
    </xf>
    <xf numFmtId="171" fontId="17" fillId="3" borderId="0" xfId="28" applyNumberFormat="1" applyFont="1" applyFill="1" applyBorder="1" applyAlignment="1">
      <alignment horizontal="center" vertical="center"/>
    </xf>
    <xf numFmtId="169" fontId="17" fillId="3" borderId="0" xfId="28" applyNumberFormat="1" applyFont="1" applyFill="1" applyBorder="1" applyAlignment="1">
      <alignment horizontal="center" vertical="center"/>
    </xf>
    <xf numFmtId="3" fontId="17" fillId="3" borderId="0" xfId="4" applyNumberFormat="1" applyFont="1" applyFill="1" applyBorder="1" applyAlignment="1">
      <alignment horizontal="center" wrapText="1"/>
    </xf>
    <xf numFmtId="3" fontId="26" fillId="3" borderId="0" xfId="4" applyNumberFormat="1" applyFont="1" applyFill="1" applyBorder="1" applyAlignment="1">
      <alignment horizontal="center" wrapText="1"/>
    </xf>
    <xf numFmtId="0" fontId="52" fillId="2" borderId="0" xfId="1" applyFont="1" applyFill="1" applyAlignment="1" applyProtection="1">
      <alignment vertical="center"/>
    </xf>
    <xf numFmtId="167" fontId="26" fillId="2" borderId="3" xfId="4" applyNumberFormat="1" applyFont="1" applyFill="1" applyBorder="1" applyAlignment="1">
      <alignment horizontal="right" wrapText="1"/>
    </xf>
    <xf numFmtId="3" fontId="26" fillId="3" borderId="3" xfId="0" applyNumberFormat="1" applyFont="1" applyFill="1" applyBorder="1" applyAlignment="1">
      <alignment horizontal="right" wrapText="1"/>
    </xf>
    <xf numFmtId="3" fontId="17" fillId="3" borderId="0" xfId="0" applyNumberFormat="1" applyFont="1" applyFill="1" applyBorder="1" applyAlignment="1">
      <alignment horizontal="right"/>
    </xf>
    <xf numFmtId="0" fontId="17" fillId="3" borderId="1" xfId="0" applyFont="1" applyFill="1" applyBorder="1" applyAlignment="1">
      <alignment horizontal="right"/>
    </xf>
    <xf numFmtId="3" fontId="26" fillId="3" borderId="2" xfId="0" applyNumberFormat="1" applyFont="1" applyFill="1" applyBorder="1" applyAlignment="1">
      <alignment horizontal="right" wrapText="1"/>
    </xf>
    <xf numFmtId="166" fontId="17" fillId="3" borderId="0" xfId="0" applyNumberFormat="1" applyFont="1" applyFill="1" applyBorder="1" applyAlignment="1">
      <alignment horizontal="center" vertical="center"/>
    </xf>
    <xf numFmtId="3" fontId="17" fillId="3" borderId="0" xfId="0" applyNumberFormat="1" applyFont="1" applyFill="1" applyAlignment="1">
      <alignment horizontal="right"/>
    </xf>
    <xf numFmtId="168" fontId="17" fillId="3" borderId="0" xfId="0" applyNumberFormat="1" applyFont="1" applyFill="1" applyBorder="1" applyAlignment="1">
      <alignment horizontal="right"/>
    </xf>
    <xf numFmtId="168" fontId="26" fillId="3" borderId="0" xfId="0" applyNumberFormat="1" applyFont="1" applyFill="1" applyBorder="1" applyAlignment="1">
      <alignment horizontal="right"/>
    </xf>
    <xf numFmtId="0" fontId="17" fillId="3" borderId="0" xfId="0" applyFont="1" applyFill="1" applyBorder="1" applyAlignment="1">
      <alignment horizontal="right"/>
    </xf>
    <xf numFmtId="0" fontId="51" fillId="2" borderId="0" xfId="1" applyFont="1" applyFill="1" applyAlignment="1" applyProtection="1">
      <alignment horizontal="left" vertical="center"/>
    </xf>
    <xf numFmtId="3" fontId="0" fillId="3" borderId="0" xfId="0" applyNumberFormat="1" applyFont="1" applyFill="1" applyBorder="1" applyAlignment="1">
      <alignment horizontal="center"/>
    </xf>
    <xf numFmtId="2" fontId="0" fillId="3" borderId="0" xfId="0" applyNumberFormat="1" applyFont="1" applyFill="1" applyBorder="1" applyAlignment="1">
      <alignment horizontal="center"/>
    </xf>
    <xf numFmtId="0" fontId="0" fillId="3" borderId="0" xfId="0" applyFont="1" applyFill="1" applyBorder="1" applyAlignment="1">
      <alignment horizontal="center"/>
    </xf>
    <xf numFmtId="3" fontId="0" fillId="3" borderId="0" xfId="0" applyNumberFormat="1" applyFont="1" applyFill="1" applyBorder="1" applyAlignment="1" applyProtection="1">
      <alignment horizontal="center"/>
      <protection hidden="1"/>
    </xf>
    <xf numFmtId="0" fontId="22" fillId="2" borderId="0" xfId="0" applyFont="1" applyFill="1" applyAlignment="1">
      <alignment horizontal="center"/>
    </xf>
    <xf numFmtId="0" fontId="39" fillId="2" borderId="0" xfId="0" applyFont="1" applyFill="1" applyAlignment="1" applyProtection="1">
      <alignment horizontal="center"/>
      <protection hidden="1"/>
    </xf>
    <xf numFmtId="0" fontId="34" fillId="0" borderId="0" xfId="0" applyFont="1" applyAlignment="1"/>
    <xf numFmtId="0" fontId="55" fillId="2" borderId="0" xfId="1" applyFont="1" applyFill="1" applyAlignment="1" applyProtection="1">
      <alignment horizontal="left" vertical="center"/>
    </xf>
    <xf numFmtId="0" fontId="55" fillId="2" borderId="0" xfId="1" applyFont="1" applyFill="1" applyAlignment="1" applyProtection="1">
      <alignment horizontal="left"/>
    </xf>
    <xf numFmtId="0" fontId="17" fillId="2" borderId="0" xfId="0" applyFont="1" applyFill="1" applyAlignment="1">
      <alignment horizontal="left" vertical="center" wrapText="1"/>
    </xf>
    <xf numFmtId="0" fontId="50" fillId="2" borderId="0" xfId="0" applyFont="1" applyFill="1" applyAlignment="1">
      <alignment horizontal="right" vertical="center"/>
    </xf>
    <xf numFmtId="0" fontId="53" fillId="2" borderId="0" xfId="0" applyFont="1" applyFill="1" applyBorder="1" applyAlignment="1">
      <alignment horizontal="center" vertical="center"/>
    </xf>
    <xf numFmtId="0" fontId="52" fillId="2" borderId="0" xfId="1" applyFont="1" applyFill="1" applyAlignment="1" applyProtection="1">
      <alignment horizontal="center" vertical="center"/>
    </xf>
    <xf numFmtId="0" fontId="51" fillId="2" borderId="0" xfId="1" applyFont="1" applyFill="1" applyAlignment="1" applyProtection="1">
      <alignment horizontal="center" vertical="center"/>
    </xf>
    <xf numFmtId="0" fontId="28" fillId="2" borderId="5" xfId="0" applyFont="1" applyFill="1" applyBorder="1" applyAlignment="1">
      <alignment horizontal="left" wrapText="1"/>
    </xf>
    <xf numFmtId="0" fontId="53" fillId="2" borderId="0" xfId="0" applyFont="1" applyFill="1" applyBorder="1" applyAlignment="1">
      <alignment horizontal="center"/>
    </xf>
    <xf numFmtId="0" fontId="18" fillId="2" borderId="0" xfId="0" applyFont="1" applyFill="1"/>
    <xf numFmtId="0" fontId="18" fillId="2" borderId="0" xfId="0" applyFont="1" applyFill="1" applyBorder="1" applyAlignment="1">
      <alignment horizontal="left"/>
    </xf>
    <xf numFmtId="0" fontId="17" fillId="2" borderId="5" xfId="0" applyFont="1" applyFill="1" applyBorder="1" applyAlignment="1">
      <alignment horizontal="center"/>
    </xf>
    <xf numFmtId="0" fontId="18" fillId="2" borderId="0" xfId="0" applyFont="1" applyFill="1" applyBorder="1" applyAlignment="1">
      <alignment horizontal="left" wrapText="1"/>
    </xf>
    <xf numFmtId="0" fontId="17" fillId="2" borderId="0" xfId="0" applyFont="1" applyFill="1" applyBorder="1" applyAlignment="1">
      <alignment horizontal="left" vertical="center" indent="1"/>
    </xf>
    <xf numFmtId="0" fontId="18" fillId="2" borderId="2" xfId="0" applyFont="1" applyFill="1" applyBorder="1" applyAlignment="1">
      <alignment horizontal="left" wrapText="1"/>
    </xf>
    <xf numFmtId="0" fontId="53" fillId="2" borderId="0" xfId="0" applyFont="1" applyFill="1" applyAlignment="1">
      <alignment horizontal="center"/>
    </xf>
    <xf numFmtId="0" fontId="51" fillId="3" borderId="0" xfId="1" applyFont="1" applyFill="1" applyAlignment="1" applyProtection="1">
      <alignment horizontal="center" vertical="center"/>
    </xf>
    <xf numFmtId="0" fontId="52" fillId="2" borderId="0" xfId="1" applyFont="1" applyFill="1" applyAlignment="1" applyProtection="1">
      <alignment horizontal="left" vertical="center"/>
    </xf>
    <xf numFmtId="0" fontId="51" fillId="2" borderId="0" xfId="1" applyFont="1" applyFill="1" applyBorder="1" applyAlignment="1" applyProtection="1">
      <alignment horizontal="center" vertical="center"/>
    </xf>
    <xf numFmtId="0" fontId="38" fillId="2" borderId="0" xfId="0" applyFont="1" applyFill="1" applyBorder="1" applyAlignment="1">
      <alignment horizontal="center"/>
    </xf>
    <xf numFmtId="0" fontId="51" fillId="2" borderId="0" xfId="1" applyFont="1" applyFill="1" applyBorder="1" applyAlignment="1" applyProtection="1">
      <alignment horizontal="left" vertical="center"/>
    </xf>
    <xf numFmtId="0" fontId="17" fillId="2" borderId="0" xfId="0" applyFont="1" applyFill="1" applyBorder="1" applyAlignment="1">
      <alignment horizontal="right" vertical="center" readingOrder="1"/>
    </xf>
    <xf numFmtId="0" fontId="17" fillId="2" borderId="0" xfId="1" applyFont="1" applyFill="1" applyAlignment="1" applyProtection="1">
      <alignment horizontal="center"/>
    </xf>
    <xf numFmtId="0" fontId="18" fillId="2" borderId="0" xfId="0" applyFont="1" applyFill="1" applyBorder="1" applyAlignment="1">
      <alignment horizontal="left" vertical="center" readingOrder="1"/>
    </xf>
    <xf numFmtId="0" fontId="31" fillId="2" borderId="0" xfId="26" applyFont="1" applyFill="1" applyBorder="1" applyAlignment="1">
      <alignment horizontal="center" vertical="top"/>
    </xf>
    <xf numFmtId="0" fontId="23" fillId="0" borderId="0" xfId="26" applyFont="1" applyFill="1" applyBorder="1" applyAlignment="1">
      <alignment horizontal="center"/>
    </xf>
    <xf numFmtId="0" fontId="23" fillId="2" borderId="0" xfId="26" applyFont="1" applyFill="1" applyBorder="1" applyAlignment="1">
      <alignment horizontal="center"/>
    </xf>
    <xf numFmtId="167" fontId="17" fillId="3" borderId="0" xfId="4" applyNumberFormat="1" applyFont="1" applyFill="1" applyBorder="1"/>
    <xf numFmtId="0" fontId="57" fillId="2" borderId="0" xfId="26" applyFont="1" applyFill="1" applyBorder="1" applyAlignment="1"/>
    <xf numFmtId="0" fontId="43" fillId="2" borderId="0" xfId="26" applyFont="1" applyFill="1" applyBorder="1" applyAlignment="1">
      <alignment vertical="center"/>
    </xf>
    <xf numFmtId="0" fontId="43" fillId="2" borderId="0" xfId="26" applyFont="1" applyFill="1" applyBorder="1" applyAlignment="1"/>
    <xf numFmtId="0" fontId="57" fillId="2" borderId="0" xfId="26" applyFont="1" applyFill="1" applyBorder="1"/>
    <xf numFmtId="0" fontId="57" fillId="2" borderId="0" xfId="26" applyFont="1" applyFill="1" applyBorder="1" applyAlignment="1">
      <alignment horizontal="center" vertical="center"/>
    </xf>
    <xf numFmtId="0" fontId="43" fillId="2" borderId="0" xfId="26" applyFont="1" applyFill="1" applyBorder="1" applyAlignment="1">
      <alignment horizontal="left" indent="2"/>
    </xf>
    <xf numFmtId="0" fontId="43" fillId="2" borderId="0" xfId="26" applyFont="1" applyFill="1" applyBorder="1" applyAlignment="1">
      <alignment horizontal="center" vertical="center"/>
    </xf>
    <xf numFmtId="0" fontId="43" fillId="2" borderId="0" xfId="26" applyFont="1" applyFill="1" applyBorder="1" applyAlignment="1">
      <alignment horizontal="left" wrapText="1" indent="2"/>
    </xf>
    <xf numFmtId="0" fontId="57" fillId="2" borderId="0" xfId="26" applyFont="1" applyFill="1" applyBorder="1" applyAlignment="1">
      <alignment horizontal="left"/>
    </xf>
    <xf numFmtId="0" fontId="43" fillId="2" borderId="0" xfId="26" applyFont="1" applyFill="1" applyBorder="1" applyAlignment="1">
      <alignment horizontal="left"/>
    </xf>
    <xf numFmtId="0" fontId="43" fillId="2" borderId="0" xfId="26" applyFont="1" applyFill="1" applyBorder="1" applyAlignment="1">
      <alignment horizontal="right"/>
    </xf>
    <xf numFmtId="0" fontId="43" fillId="2" borderId="0" xfId="26" applyFont="1" applyFill="1" applyBorder="1" applyAlignment="1">
      <alignment horizontal="left" vertical="center" wrapText="1"/>
    </xf>
    <xf numFmtId="0" fontId="43" fillId="2" borderId="0" xfId="26" applyFont="1" applyFill="1" applyBorder="1" applyAlignment="1">
      <alignment vertical="top"/>
    </xf>
    <xf numFmtId="0" fontId="75" fillId="2" borderId="0" xfId="26" applyFont="1" applyFill="1" applyBorder="1"/>
    <xf numFmtId="0" fontId="17" fillId="2" borderId="0" xfId="26" applyFont="1" applyFill="1" applyBorder="1" applyAlignment="1">
      <alignment vertical="center"/>
    </xf>
    <xf numFmtId="0" fontId="76" fillId="2" borderId="0" xfId="26" applyFont="1" applyFill="1" applyBorder="1"/>
    <xf numFmtId="0" fontId="17" fillId="2" borderId="0" xfId="0" applyFont="1" applyFill="1" applyBorder="1" applyAlignment="1">
      <alignment horizontal="left" vertical="center" wrapText="1"/>
    </xf>
    <xf numFmtId="0" fontId="43" fillId="2" borderId="0" xfId="0" applyFont="1" applyFill="1" applyBorder="1" applyAlignment="1">
      <alignment wrapText="1"/>
    </xf>
  </cellXfs>
  <cellStyles count="52">
    <cellStyle name="Normal_DATABOOK_08_Rus" xfId="5"/>
    <cellStyle name="Гиперссылка" xfId="1" builtinId="8"/>
    <cellStyle name="Обычный" xfId="0" builtinId="0"/>
    <cellStyle name="Обычный 10" xfId="17"/>
    <cellStyle name="Обычный 10 2" xfId="31"/>
    <cellStyle name="Обычный 12" xfId="15"/>
    <cellStyle name="Обычный 12 2" xfId="43"/>
    <cellStyle name="Обычный 2" xfId="2"/>
    <cellStyle name="Обычный 2 2" xfId="11"/>
    <cellStyle name="Обычный 2 4 5" xfId="19"/>
    <cellStyle name="Обычный 2 4 5 2" xfId="46"/>
    <cellStyle name="Обычный 3" xfId="6"/>
    <cellStyle name="Обычный 3 2" xfId="12"/>
    <cellStyle name="Обычный 3 2 2" xfId="40"/>
    <cellStyle name="Обычный 3 3" xfId="21"/>
    <cellStyle name="Обычный 3 3 2" xfId="47"/>
    <cellStyle name="Обычный 3 4" xfId="37"/>
    <cellStyle name="Обычный 4" xfId="8"/>
    <cellStyle name="Обычный 4 2" xfId="39"/>
    <cellStyle name="Обычный 5" xfId="9"/>
    <cellStyle name="Обычный 5 2" xfId="13"/>
    <cellStyle name="Обычный 5 2 2" xfId="41"/>
    <cellStyle name="Обычный 5 3" xfId="20"/>
    <cellStyle name="Обычный 5 3 2" xfId="23"/>
    <cellStyle name="Обычный 5 3 2 2" xfId="26"/>
    <cellStyle name="Обычный 5 3 2 2 2" xfId="49"/>
    <cellStyle name="Обычный 5 3 2 3" xfId="32"/>
    <cellStyle name="Обычный 6" xfId="30"/>
    <cellStyle name="Обычный 7" xfId="35"/>
    <cellStyle name="Обычный_2зн" xfId="36"/>
    <cellStyle name="Обычный_LUK_DataBook 2005_R_Exploration&amp;Reserves" xfId="29"/>
    <cellStyle name="Обычный_Лист1" xfId="34"/>
    <cellStyle name="Процентный" xfId="3" builtinId="5"/>
    <cellStyle name="Процентный 2" xfId="7"/>
    <cellStyle name="Процентный 2 2" xfId="16"/>
    <cellStyle name="Процентный 2 2 2" xfId="44"/>
    <cellStyle name="Процентный 2 3" xfId="38"/>
    <cellStyle name="Процентный 3" xfId="10"/>
    <cellStyle name="Процентный 3 2" xfId="14"/>
    <cellStyle name="Процентный 3 2 2" xfId="42"/>
    <cellStyle name="Процентный 3 3" xfId="22"/>
    <cellStyle name="Процентный 3 3 2" xfId="24"/>
    <cellStyle name="Процентный 3 3 2 2" xfId="28"/>
    <cellStyle name="Процентный 3 3 2 2 2" xfId="51"/>
    <cellStyle name="Процентный 3 3 2 3" xfId="33"/>
    <cellStyle name="Финансовый" xfId="4" builtinId="3"/>
    <cellStyle name="Финансовый 2" xfId="25"/>
    <cellStyle name="Финансовый 2 2" xfId="27"/>
    <cellStyle name="Финансовый 2 2 2" xfId="50"/>
    <cellStyle name="Финансовый 2 3" xfId="48"/>
    <cellStyle name="Финансовый 6" xfId="18"/>
    <cellStyle name="Финансовый 6 2" xfId="45"/>
  </cellStyles>
  <dxfs count="0"/>
  <tableStyles count="0" defaultTableStyle="TableStyleMedium9" defaultPivotStyle="PivotStyleLight16"/>
  <colors>
    <mruColors>
      <color rgb="FFFFCCFF"/>
      <color rgb="FFFFFFCC"/>
      <color rgb="FFFF00FF"/>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0486435921421889"/>
          <c:y val="0.13401415906772016"/>
          <c:w val="0.50337330910559253"/>
          <c:h val="0.81363042265260965"/>
        </c:manualLayout>
      </c:layout>
      <c:doughnutChart>
        <c:varyColors val="1"/>
        <c:ser>
          <c:idx val="0"/>
          <c:order val="0"/>
          <c:dLbls>
            <c:dLbl>
              <c:idx val="0"/>
              <c:layout>
                <c:manualLayout>
                  <c:x val="0.23839156826364538"/>
                  <c:y val="-0.12941683221356215"/>
                </c:manualLayout>
              </c:layout>
              <c:tx>
                <c:rich>
                  <a:bodyPr/>
                  <a:lstStyle/>
                  <a:p>
                    <a:fld id="{3D35140A-063D-415A-9220-A23DC212C22A}" type="CATEGORYNAME">
                      <a:rPr lang="ru-RU"/>
                      <a:pPr/>
                      <a:t>[ИМЯ КАТЕГОРИИ]</a:t>
                    </a:fld>
                    <a:r>
                      <a:rPr lang="ru-RU" baseline="0"/>
                      <a:t>
67,48%</a:t>
                    </a:r>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C887-41C6-BC75-F5D16C51EF2D}"/>
                </c:ext>
              </c:extLst>
            </c:dLbl>
            <c:dLbl>
              <c:idx val="1"/>
              <c:layout>
                <c:manualLayout>
                  <c:x val="-0.17050150608231868"/>
                  <c:y val="0.11785230000851793"/>
                </c:manualLayout>
              </c:layout>
              <c:tx>
                <c:rich>
                  <a:bodyPr/>
                  <a:lstStyle/>
                  <a:p>
                    <a:fld id="{E018797F-C528-47EB-B30A-FFFAA4F09227}" type="CATEGORYNAME">
                      <a:rPr lang="ru-RU"/>
                      <a:pPr/>
                      <a:t>[ИМЯ КАТЕГОРИИ]</a:t>
                    </a:fld>
                    <a:r>
                      <a:rPr lang="ru-RU" baseline="0"/>
                      <a:t>
28,80%</a:t>
                    </a:r>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C887-41C6-BC75-F5D16C51EF2D}"/>
                </c:ext>
              </c:extLst>
            </c:dLbl>
            <c:dLbl>
              <c:idx val="2"/>
              <c:layout>
                <c:manualLayout>
                  <c:x val="-0.20398222949404052"/>
                  <c:y val="-0.10053165557221713"/>
                </c:manualLayout>
              </c:layout>
              <c:tx>
                <c:rich>
                  <a:bodyPr/>
                  <a:lstStyle/>
                  <a:p>
                    <a:fld id="{EA2C04EA-12DB-4C80-9F25-168FCB3B63C8}" type="CATEGORYNAME">
                      <a:rPr lang="ru-RU"/>
                      <a:pPr/>
                      <a:t>[ИМЯ КАТЕГОРИИ]</a:t>
                    </a:fld>
                    <a:r>
                      <a:rPr lang="ru-RU" baseline="0"/>
                      <a:t>
1,21;%</a:t>
                    </a:r>
                  </a:p>
                </c:rich>
              </c:tx>
              <c:showLegendKey val="0"/>
              <c:showVal val="0"/>
              <c:showCatName val="1"/>
              <c:showSerName val="0"/>
              <c:showPercent val="1"/>
              <c:showBubbleSize val="0"/>
              <c:extLst>
                <c:ext xmlns:c15="http://schemas.microsoft.com/office/drawing/2012/chart" uri="{CE6537A1-D6FC-4f65-9D91-7224C49458BB}">
                  <c15:layout>
                    <c:manualLayout>
                      <c:w val="0.28505050505050505"/>
                      <c:h val="0.16606554081686881"/>
                    </c:manualLayout>
                  </c15:layout>
                  <c15:dlblFieldTable/>
                  <c15:showDataLabelsRange val="0"/>
                </c:ext>
                <c:ext xmlns:c16="http://schemas.microsoft.com/office/drawing/2014/chart" uri="{C3380CC4-5D6E-409C-BE32-E72D297353CC}">
                  <c16:uniqueId val="{00000002-C887-41C6-BC75-F5D16C51EF2D}"/>
                </c:ext>
              </c:extLst>
            </c:dLbl>
            <c:dLbl>
              <c:idx val="3"/>
              <c:layout>
                <c:manualLayout>
                  <c:x val="2.1645248889343379E-2"/>
                  <c:y val="-0.17290507338774549"/>
                </c:manualLayout>
              </c:layout>
              <c:tx>
                <c:rich>
                  <a:bodyPr/>
                  <a:lstStyle/>
                  <a:p>
                    <a:fld id="{8750EBC0-B039-4557-9FC4-0C0293197338}" type="CATEGORYNAME">
                      <a:rPr lang="ru-RU"/>
                      <a:pPr/>
                      <a:t>[ИМЯ КАТЕГОРИИ]</a:t>
                    </a:fld>
                    <a:r>
                      <a:rPr lang="ru-RU" baseline="0"/>
                      <a:t>
0,67%</a:t>
                    </a:r>
                  </a:p>
                </c:rich>
              </c:tx>
              <c:showLegendKey val="0"/>
              <c:showVal val="0"/>
              <c:showCatName val="1"/>
              <c:showSerName val="0"/>
              <c:showPercent val="1"/>
              <c:showBubbleSize val="0"/>
              <c:extLst>
                <c:ext xmlns:c15="http://schemas.microsoft.com/office/drawing/2012/chart" uri="{CE6537A1-D6FC-4f65-9D91-7224C49458BB}">
                  <c15:layout>
                    <c:manualLayout>
                      <c:w val="0.25898989898989899"/>
                      <c:h val="0.18862962780809173"/>
                    </c:manualLayout>
                  </c15:layout>
                  <c15:dlblFieldTable/>
                  <c15:showDataLabelsRange val="0"/>
                </c:ext>
                <c:ext xmlns:c16="http://schemas.microsoft.com/office/drawing/2014/chart" uri="{C3380CC4-5D6E-409C-BE32-E72D297353CC}">
                  <c16:uniqueId val="{00000003-C887-41C6-BC75-F5D16C51EF2D}"/>
                </c:ext>
              </c:extLst>
            </c:dLbl>
            <c:dLbl>
              <c:idx val="4"/>
              <c:layout>
                <c:manualLayout>
                  <c:x val="0.18658985808592107"/>
                  <c:y val="-0.12975769352516989"/>
                </c:manualLayout>
              </c:layout>
              <c:tx>
                <c:rich>
                  <a:bodyPr/>
                  <a:lstStyle/>
                  <a:p>
                    <a:fld id="{16F41088-33F3-45E1-B213-D424BEF9BE12}" type="CATEGORYNAME">
                      <a:rPr lang="ru-RU"/>
                      <a:pPr/>
                      <a:t>[ИМЯ КАТЕГОРИИ]</a:t>
                    </a:fld>
                    <a:r>
                      <a:rPr lang="ru-RU" baseline="0"/>
                      <a:t>
1,84%</a:t>
                    </a:r>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C887-41C6-BC75-F5D16C51EF2D}"/>
                </c:ext>
              </c:extLst>
            </c:dLbl>
            <c:numFmt formatCode="0.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'[1]УК.Расчеты акций'!$A$4:$A$8</c:f>
              <c:strCache>
                <c:ptCount val="5"/>
                <c:pt idx="0">
                  <c:v>ПАО "Россети"</c:v>
                </c:pt>
                <c:pt idx="1">
                  <c:v>г. Санкт-Петербург в лице КИО</c:v>
                </c:pt>
                <c:pt idx="2">
                  <c:v>ОАО "МРСК Урала"</c:v>
                </c:pt>
                <c:pt idx="3">
                  <c:v>ООО "ЭНЕРГОТРАНС"</c:v>
                </c:pt>
                <c:pt idx="4">
                  <c:v>Прочие</c:v>
                </c:pt>
              </c:strCache>
            </c:strRef>
          </c:cat>
          <c:val>
            <c:numRef>
              <c:f>'[1]УК.Расчеты акций'!$F$4:$F$8</c:f>
              <c:numCache>
                <c:formatCode>General</c:formatCode>
                <c:ptCount val="5"/>
                <c:pt idx="0">
                  <c:v>0.67483007896885339</c:v>
                </c:pt>
                <c:pt idx="1">
                  <c:v>0.28797934632501609</c:v>
                </c:pt>
                <c:pt idx="2">
                  <c:v>1.2053936375824654E-2</c:v>
                </c:pt>
                <c:pt idx="3">
                  <c:v>6.7105754841699687E-3</c:v>
                </c:pt>
                <c:pt idx="4">
                  <c:v>1.8426062846135984E-2</c:v>
                </c:pt>
              </c:numCache>
            </c:numRef>
          </c:val>
          <c:extLst>
            <c:ext xmlns:c16="http://schemas.microsoft.com/office/drawing/2014/chart" uri="{C3380CC4-5D6E-409C-BE32-E72D297353CC}">
              <c16:uniqueId val="{00000005-C887-41C6-BC75-F5D16C51EF2D}"/>
            </c:ext>
          </c:extLst>
        </c:ser>
        <c:dLbls>
          <c:showLegendKey val="0"/>
          <c:showVal val="0"/>
          <c:showCatName val="0"/>
          <c:showSerName val="0"/>
          <c:showPercent val="1"/>
          <c:showBubbleSize val="0"/>
          <c:showLeaderLines val="0"/>
        </c:dLbls>
        <c:firstSliceAng val="0"/>
        <c:holeSize val="50"/>
      </c:doughnutChart>
    </c:plotArea>
    <c:plotVisOnly val="1"/>
    <c:dispBlanksAs val="gap"/>
    <c:showDLblsOverMax val="0"/>
  </c:chart>
  <c:spPr>
    <a:noFill/>
    <a:ln>
      <a:noFill/>
    </a:ln>
  </c:spPr>
  <c:txPr>
    <a:bodyPr/>
    <a:lstStyle/>
    <a:p>
      <a:pPr>
        <a:defRPr sz="1000"/>
      </a:pPr>
      <a:endParaRPr lang="ru-RU"/>
    </a:p>
  </c:txPr>
  <c:printSettings>
    <c:headerFooter/>
    <c:pageMargins b="0.75000000000000078" l="0.70000000000000062" r="0.70000000000000062" t="0.7500000000000007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hyperlink" Target="https://rosseti-lenenergo.ru/shareholders/investors/invest_cal/" TargetMode="External"/><Relationship Id="rId3" Type="http://schemas.openxmlformats.org/officeDocument/2006/relationships/image" Target="../media/image2.png"/><Relationship Id="rId7" Type="http://schemas.microsoft.com/office/2007/relationships/hdphoto" Target="../media/hdphoto2.wdp"/><Relationship Id="rId2" Type="http://schemas.openxmlformats.org/officeDocument/2006/relationships/hyperlink" Target="https://t.me/rosseti_lenenergo" TargetMode="External"/><Relationship Id="rId1" Type="http://schemas.openxmlformats.org/officeDocument/2006/relationships/image" Target="../media/image1.png"/><Relationship Id="rId6" Type="http://schemas.openxmlformats.org/officeDocument/2006/relationships/image" Target="../media/image3.png"/><Relationship Id="rId5" Type="http://schemas.openxmlformats.org/officeDocument/2006/relationships/hyperlink" Target="https://vk.com/rosseti_lenenergo" TargetMode="External"/><Relationship Id="rId4" Type="http://schemas.microsoft.com/office/2007/relationships/hdphoto" Target="../media/hdphoto1.wdp"/><Relationship Id="rId9"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microsoft.com/office/2007/relationships/hdphoto" Target="../media/hdphoto3.wdp"/><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7.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56029</xdr:colOff>
      <xdr:row>0</xdr:row>
      <xdr:rowOff>0</xdr:rowOff>
    </xdr:from>
    <xdr:to>
      <xdr:col>4</xdr:col>
      <xdr:colOff>44823</xdr:colOff>
      <xdr:row>4</xdr:row>
      <xdr:rowOff>100853</xdr:rowOff>
    </xdr:to>
    <xdr:pic>
      <xdr:nvPicPr>
        <xdr:cNvPr id="23" name="Рисунок 2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029" y="0"/>
          <a:ext cx="2633382" cy="728382"/>
        </a:xfrm>
        <a:prstGeom prst="rect">
          <a:avLst/>
        </a:prstGeom>
      </xdr:spPr>
    </xdr:pic>
    <xdr:clientData/>
  </xdr:twoCellAnchor>
  <xdr:twoCellAnchor editAs="oneCell">
    <xdr:from>
      <xdr:col>0</xdr:col>
      <xdr:colOff>408101</xdr:colOff>
      <xdr:row>30</xdr:row>
      <xdr:rowOff>39960</xdr:rowOff>
    </xdr:from>
    <xdr:to>
      <xdr:col>1</xdr:col>
      <xdr:colOff>693</xdr:colOff>
      <xdr:row>31</xdr:row>
      <xdr:rowOff>144633</xdr:rowOff>
    </xdr:to>
    <xdr:pic>
      <xdr:nvPicPr>
        <xdr:cNvPr id="3" name="Рисунок 2">
          <a:hlinkClick xmlns:r="http://schemas.openxmlformats.org/officeDocument/2006/relationships" r:id="rId2"/>
        </xdr:cNvPr>
        <xdr:cNvPicPr>
          <a:picLocks noChangeAspect="1"/>
        </xdr:cNvPicPr>
      </xdr:nvPicPr>
      <xdr:blipFill>
        <a:blip xmlns:r="http://schemas.openxmlformats.org/officeDocument/2006/relationships" r:embed="rId3" cstate="print">
          <a:duotone>
            <a:schemeClr val="bg2">
              <a:shade val="45000"/>
              <a:satMod val="135000"/>
            </a:schemeClr>
            <a:prstClr val="white"/>
          </a:duotone>
          <a:extLst>
            <a:ext uri="{BEBA8EAE-BF5A-486C-A8C5-ECC9F3942E4B}">
              <a14:imgProps xmlns:a14="http://schemas.microsoft.com/office/drawing/2010/main">
                <a14:imgLayer r:embed="rId4">
                  <a14:imgEffect>
                    <a14:sharpenSoften amount="7000"/>
                  </a14:imgEffect>
                </a14:imgLayer>
              </a14:imgProps>
            </a:ext>
            <a:ext uri="{28A0092B-C50C-407E-A947-70E740481C1C}">
              <a14:useLocalDpi xmlns:a14="http://schemas.microsoft.com/office/drawing/2010/main" val="0"/>
            </a:ext>
          </a:extLst>
        </a:blip>
        <a:stretch>
          <a:fillRect/>
        </a:stretch>
      </xdr:blipFill>
      <xdr:spPr>
        <a:xfrm>
          <a:off x="408101" y="6872690"/>
          <a:ext cx="282669" cy="299060"/>
        </a:xfrm>
        <a:prstGeom prst="rect">
          <a:avLst/>
        </a:prstGeom>
      </xdr:spPr>
    </xdr:pic>
    <xdr:clientData/>
  </xdr:twoCellAnchor>
  <xdr:twoCellAnchor editAs="oneCell">
    <xdr:from>
      <xdr:col>0</xdr:col>
      <xdr:colOff>22184</xdr:colOff>
      <xdr:row>29</xdr:row>
      <xdr:rowOff>161851</xdr:rowOff>
    </xdr:from>
    <xdr:to>
      <xdr:col>0</xdr:col>
      <xdr:colOff>369177</xdr:colOff>
      <xdr:row>32</xdr:row>
      <xdr:rowOff>144</xdr:rowOff>
    </xdr:to>
    <xdr:pic>
      <xdr:nvPicPr>
        <xdr:cNvPr id="7" name="Рисунок 6">
          <a:hlinkClick xmlns:r="http://schemas.openxmlformats.org/officeDocument/2006/relationships" r:id="rId5"/>
        </xdr:cNvPr>
        <xdr:cNvPicPr>
          <a:picLocks noChangeAspect="1"/>
        </xdr:cNvPicPr>
      </xdr:nvPicPr>
      <xdr:blipFill>
        <a:blip xmlns:r="http://schemas.openxmlformats.org/officeDocument/2006/relationships" r:embed="rId6">
          <a:duotone>
            <a:schemeClr val="bg2">
              <a:shade val="45000"/>
              <a:satMod val="135000"/>
            </a:schemeClr>
            <a:prstClr val="white"/>
          </a:duotone>
          <a:extLst>
            <a:ext uri="{BEBA8EAE-BF5A-486C-A8C5-ECC9F3942E4B}">
              <a14:imgProps xmlns:a14="http://schemas.microsoft.com/office/drawing/2010/main">
                <a14:imgLayer r:embed="rId7">
                  <a14:imgEffect>
                    <a14:sharpenSoften amount="66000"/>
                  </a14:imgEffect>
                </a14:imgLayer>
              </a14:imgProps>
            </a:ext>
            <a:ext uri="{28A0092B-C50C-407E-A947-70E740481C1C}">
              <a14:useLocalDpi xmlns:a14="http://schemas.microsoft.com/office/drawing/2010/main" val="0"/>
            </a:ext>
          </a:extLst>
        </a:blip>
        <a:stretch>
          <a:fillRect/>
        </a:stretch>
      </xdr:blipFill>
      <xdr:spPr>
        <a:xfrm>
          <a:off x="22184" y="6829351"/>
          <a:ext cx="346993" cy="356660"/>
        </a:xfrm>
        <a:prstGeom prst="rect">
          <a:avLst/>
        </a:prstGeom>
      </xdr:spPr>
    </xdr:pic>
    <xdr:clientData/>
  </xdr:twoCellAnchor>
  <xdr:twoCellAnchor editAs="oneCell">
    <xdr:from>
      <xdr:col>9</xdr:col>
      <xdr:colOff>19440</xdr:colOff>
      <xdr:row>25</xdr:row>
      <xdr:rowOff>174948</xdr:rowOff>
    </xdr:from>
    <xdr:to>
      <xdr:col>9</xdr:col>
      <xdr:colOff>340501</xdr:colOff>
      <xdr:row>26</xdr:row>
      <xdr:rowOff>272525</xdr:rowOff>
    </xdr:to>
    <xdr:pic>
      <xdr:nvPicPr>
        <xdr:cNvPr id="8" name="Рисунок 7">
          <a:hlinkClick xmlns:r="http://schemas.openxmlformats.org/officeDocument/2006/relationships" r:id="rId8"/>
        </xdr:cNvPr>
        <xdr:cNvPicPr>
          <a:picLocks noChangeAspect="1"/>
        </xdr:cNvPicPr>
      </xdr:nvPicPr>
      <xdr:blipFill>
        <a:blip xmlns:r="http://schemas.openxmlformats.org/officeDocument/2006/relationships" r:embed="rId9" cstate="print">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5744159" y="5957984"/>
          <a:ext cx="321061" cy="36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2483703</xdr:colOff>
      <xdr:row>4</xdr:row>
      <xdr:rowOff>48025</xdr:rowOff>
    </xdr:to>
    <xdr:pic>
      <xdr:nvPicPr>
        <xdr:cNvPr id="5" name="Рисунок 4"/>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33382" cy="72838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40821</xdr:rowOff>
    </xdr:from>
    <xdr:to>
      <xdr:col>1</xdr:col>
      <xdr:colOff>2483703</xdr:colOff>
      <xdr:row>4</xdr:row>
      <xdr:rowOff>88846</xdr:rowOff>
    </xdr:to>
    <xdr:pic>
      <xdr:nvPicPr>
        <xdr:cNvPr id="4" name="Рисунок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0821"/>
          <a:ext cx="2633382" cy="72838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13607</xdr:colOff>
      <xdr:row>0</xdr:row>
      <xdr:rowOff>54428</xdr:rowOff>
    </xdr:from>
    <xdr:to>
      <xdr:col>6</xdr:col>
      <xdr:colOff>48025</xdr:colOff>
      <xdr:row>3</xdr:row>
      <xdr:rowOff>292953</xdr:rowOff>
    </xdr:to>
    <xdr:pic>
      <xdr:nvPicPr>
        <xdr:cNvPr id="4" name="Рисунок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07" y="54428"/>
          <a:ext cx="2633382" cy="72838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2451165</xdr:colOff>
      <xdr:row>4</xdr:row>
      <xdr:rowOff>65773</xdr:rowOff>
    </xdr:to>
    <xdr:pic>
      <xdr:nvPicPr>
        <xdr:cNvPr id="5" name="Рисунок 4"/>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33382" cy="72838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2447984</xdr:colOff>
      <xdr:row>2</xdr:row>
      <xdr:rowOff>320168</xdr:rowOff>
    </xdr:to>
    <xdr:pic>
      <xdr:nvPicPr>
        <xdr:cNvPr id="4" name="Рисунок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33382" cy="7283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381000</xdr:colOff>
      <xdr:row>1</xdr:row>
      <xdr:rowOff>13607</xdr:rowOff>
    </xdr:to>
    <xdr:pic>
      <xdr:nvPicPr>
        <xdr:cNvPr id="4" name="Рисунок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84783" cy="6513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4482</xdr:colOff>
      <xdr:row>0</xdr:row>
      <xdr:rowOff>728382</xdr:rowOff>
    </xdr:to>
    <xdr:pic>
      <xdr:nvPicPr>
        <xdr:cNvPr id="5" name="Рисунок 4"/>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33382" cy="7283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3</xdr:col>
      <xdr:colOff>404532</xdr:colOff>
      <xdr:row>0</xdr:row>
      <xdr:rowOff>728382</xdr:rowOff>
    </xdr:to>
    <xdr:pic>
      <xdr:nvPicPr>
        <xdr:cNvPr id="5" name="Рисунок 4"/>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0"/>
          <a:ext cx="2633382" cy="7283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271182</xdr:colOff>
      <xdr:row>0</xdr:row>
      <xdr:rowOff>728382</xdr:rowOff>
    </xdr:to>
    <xdr:pic>
      <xdr:nvPicPr>
        <xdr:cNvPr id="9" name="Рисунок 8"/>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33382" cy="728382"/>
        </a:xfrm>
        <a:prstGeom prst="rect">
          <a:avLst/>
        </a:prstGeom>
      </xdr:spPr>
    </xdr:pic>
    <xdr:clientData/>
  </xdr:twoCellAnchor>
  <xdr:twoCellAnchor>
    <xdr:from>
      <xdr:col>3</xdr:col>
      <xdr:colOff>200025</xdr:colOff>
      <xdr:row>18</xdr:row>
      <xdr:rowOff>38100</xdr:rowOff>
    </xdr:from>
    <xdr:to>
      <xdr:col>7</xdr:col>
      <xdr:colOff>447675</xdr:colOff>
      <xdr:row>36</xdr:row>
      <xdr:rowOff>153043</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0.82783</cdr:x>
      <cdr:y>0.36623</cdr:y>
    </cdr:from>
    <cdr:to>
      <cdr:x>0.89062</cdr:x>
      <cdr:y>0.46357</cdr:y>
    </cdr:to>
    <cdr:pic>
      <cdr:nvPicPr>
        <cdr:cNvPr id="3"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BEBA8EAE-BF5A-486C-A8C5-ECC9F3942E4B}">
              <a14:imgProps xmlns:a14="http://schemas.microsoft.com/office/drawing/2010/main">
                <a14:imgLayer r:embed="rId2">
                  <a14:imgEffect>
                    <a14:backgroundRemoval t="0" b="98889" l="0" r="36071">
                      <a14:foregroundMark x1="9643" y1="60000" x2="9643" y2="60000"/>
                      <a14:foregroundMark x1="9643" y1="28889" x2="9643" y2="28889"/>
                      <a14:foregroundMark x1="12500" y1="16667" x2="12500" y2="16667"/>
                      <a14:foregroundMark x1="21429" y1="8889" x2="21429" y2="8889"/>
                      <a14:foregroundMark x1="27143" y1="24444" x2="27143" y2="24444"/>
                      <a14:foregroundMark x1="26429" y1="67778" x2="26429" y2="67778"/>
                    </a14:backgroundRemoval>
                  </a14:imgEffect>
                </a14:imgLayer>
              </a14:imgProps>
            </a:ext>
          </a:extLst>
        </a:blip>
        <a:srcRect xmlns:a="http://schemas.openxmlformats.org/drawingml/2006/main" r="66488"/>
        <a:stretch xmlns:a="http://schemas.openxmlformats.org/drawingml/2006/main"/>
      </cdr:blipFill>
      <cdr:spPr>
        <a:xfrm xmlns:a="http://schemas.openxmlformats.org/drawingml/2006/main">
          <a:off x="3276227" y="907212"/>
          <a:ext cx="248499" cy="241125"/>
        </a:xfrm>
        <a:prstGeom xmlns:a="http://schemas.openxmlformats.org/drawingml/2006/main" prst="rect">
          <a:avLst/>
        </a:prstGeom>
      </cdr:spPr>
    </cdr:pic>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49208</xdr:colOff>
      <xdr:row>3</xdr:row>
      <xdr:rowOff>231425</xdr:rowOff>
    </xdr:to>
    <xdr:pic>
      <xdr:nvPicPr>
        <xdr:cNvPr id="4" name="Рисунок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33382" cy="7283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13</xdr:col>
      <xdr:colOff>415260</xdr:colOff>
      <xdr:row>3</xdr:row>
      <xdr:rowOff>76281</xdr:rowOff>
    </xdr:to>
    <xdr:pic>
      <xdr:nvPicPr>
        <xdr:cNvPr id="2" name="Рисунок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4763750" cy="647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87424</xdr:rowOff>
    </xdr:from>
    <xdr:to>
      <xdr:col>4</xdr:col>
      <xdr:colOff>946910</xdr:colOff>
      <xdr:row>3</xdr:row>
      <xdr:rowOff>11068</xdr:rowOff>
    </xdr:to>
    <xdr:pic>
      <xdr:nvPicPr>
        <xdr:cNvPr id="3" name="Picture 2" descr="\\NAS\Public\public\IR\Ленэнерго\IR проект 2018\Исходные данные\Логотипы\Logo_2_white_ru.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05604" y="87424"/>
          <a:ext cx="3345848" cy="495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6</xdr:row>
      <xdr:rowOff>47625</xdr:rowOff>
    </xdr:from>
    <xdr:to>
      <xdr:col>1</xdr:col>
      <xdr:colOff>2480982</xdr:colOff>
      <xdr:row>8</xdr:row>
      <xdr:rowOff>375957</xdr:rowOff>
    </xdr:to>
    <xdr:pic>
      <xdr:nvPicPr>
        <xdr:cNvPr id="6" name="Рисунок 5"/>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8575" y="1123950"/>
          <a:ext cx="2633382" cy="72838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2454088</xdr:colOff>
      <xdr:row>4</xdr:row>
      <xdr:rowOff>100853</xdr:rowOff>
    </xdr:to>
    <xdr:pic>
      <xdr:nvPicPr>
        <xdr:cNvPr id="4" name="Рисунок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33382" cy="7283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KU/Investor%20Relations/DATA%20BASE/DATE%20BASE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МВБ АО"/>
      <sheetName val="ММВБ АП"/>
      <sheetName val="Объемы торгов АО"/>
      <sheetName val="Объемы торгов АП"/>
      <sheetName val="Капитализация"/>
      <sheetName val="Капитализация (close)"/>
      <sheetName val="Капитализация мес. (для ГО)"/>
      <sheetName val="График акц. (для ГО)"/>
      <sheetName val="для ГО2"/>
      <sheetName val="Прибыль на акцию"/>
      <sheetName val="Индексы"/>
      <sheetName val="капитализация МРСК на ФБ ММВБ"/>
      <sheetName val="диаграммы (для ГО)"/>
      <sheetName val="mac. ind. (для ГО)"/>
      <sheetName val="УК.Расчеты акци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A4" t="str">
            <v>ПАО "Россети"</v>
          </cell>
          <cell r="F4">
            <v>0.67483007896885339</v>
          </cell>
        </row>
        <row r="5">
          <cell r="A5" t="str">
            <v>г. Санкт-Петербург в лице КИО</v>
          </cell>
          <cell r="F5">
            <v>0.28797934632501609</v>
          </cell>
        </row>
        <row r="6">
          <cell r="A6" t="str">
            <v>ОАО "МРСК Урала"</v>
          </cell>
          <cell r="F6">
            <v>1.2053936375824654E-2</v>
          </cell>
        </row>
        <row r="7">
          <cell r="A7" t="str">
            <v>ООО "ЭНЕРГОТРАНС"</v>
          </cell>
          <cell r="F7">
            <v>6.7105754841699687E-3</v>
          </cell>
        </row>
        <row r="8">
          <cell r="A8" t="str">
            <v>Прочие</v>
          </cell>
          <cell r="F8">
            <v>1.8426062846135984E-2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enenergo.ru/shareholders/investors/invest_cal/" TargetMode="External"/><Relationship Id="rId1" Type="http://schemas.openxmlformats.org/officeDocument/2006/relationships/hyperlink" Target="mailto:ir@lenenergo.r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BH35"/>
  <sheetViews>
    <sheetView tabSelected="1" view="pageBreakPreview" zoomScale="90" zoomScaleNormal="100" zoomScaleSheetLayoutView="90" workbookViewId="0">
      <selection activeCell="B8" sqref="B8"/>
    </sheetView>
  </sheetViews>
  <sheetFormatPr defaultRowHeight="12.75" x14ac:dyDescent="0.2"/>
  <cols>
    <col min="1" max="1" width="10.28515625" customWidth="1"/>
    <col min="3" max="3" width="2.5703125" customWidth="1"/>
    <col min="4" max="4" width="17.85546875" bestFit="1" customWidth="1"/>
    <col min="9" max="9" width="9" customWidth="1"/>
    <col min="13" max="15" width="0" hidden="1" customWidth="1"/>
    <col min="16" max="19" width="0" style="12" hidden="1" customWidth="1"/>
    <col min="20" max="54" width="0" hidden="1" customWidth="1"/>
  </cols>
  <sheetData>
    <row r="1" spans="1:60" x14ac:dyDescent="0.2">
      <c r="A1" s="1"/>
      <c r="B1" s="1"/>
      <c r="C1" s="1"/>
      <c r="D1" s="1"/>
      <c r="E1" s="1"/>
      <c r="F1" s="1"/>
      <c r="G1" s="1"/>
      <c r="H1" s="1"/>
      <c r="I1" s="1"/>
      <c r="J1" s="1"/>
      <c r="K1" s="1"/>
      <c r="L1" s="1"/>
      <c r="M1" s="1"/>
      <c r="N1" s="1"/>
      <c r="O1" s="1"/>
    </row>
    <row r="2" spans="1:60" x14ac:dyDescent="0.2">
      <c r="A2" s="1"/>
      <c r="B2" s="1"/>
      <c r="C2" s="1"/>
      <c r="D2" s="1"/>
      <c r="E2" s="1"/>
      <c r="F2" s="1"/>
      <c r="G2" s="1"/>
      <c r="H2" s="1"/>
      <c r="I2" s="1"/>
      <c r="J2" s="1"/>
      <c r="K2" s="1"/>
      <c r="L2" s="1"/>
      <c r="M2" s="1"/>
      <c r="N2" s="1"/>
      <c r="O2" s="1"/>
    </row>
    <row r="3" spans="1:60" x14ac:dyDescent="0.2">
      <c r="A3" s="1"/>
      <c r="B3" s="1"/>
      <c r="C3" s="1"/>
      <c r="D3" s="1"/>
      <c r="E3" s="1"/>
      <c r="F3" s="1"/>
      <c r="G3" s="1"/>
      <c r="H3" s="1"/>
      <c r="I3" s="1"/>
      <c r="J3" s="1"/>
      <c r="K3" s="1"/>
      <c r="L3" s="1"/>
      <c r="M3" s="1"/>
      <c r="N3" s="1"/>
      <c r="O3" s="1"/>
    </row>
    <row r="4" spans="1:60" x14ac:dyDescent="0.2">
      <c r="A4" s="1"/>
      <c r="B4" s="1"/>
      <c r="C4" s="1"/>
      <c r="D4" s="1"/>
      <c r="E4" s="1"/>
      <c r="F4" s="1"/>
      <c r="G4" s="1"/>
      <c r="H4" s="1"/>
      <c r="I4" s="1"/>
      <c r="J4" s="1"/>
      <c r="K4" s="1"/>
      <c r="L4" s="1"/>
      <c r="M4" s="1"/>
      <c r="N4" s="1"/>
      <c r="O4" s="1"/>
    </row>
    <row r="5" spans="1:60" x14ac:dyDescent="0.2">
      <c r="A5" s="1"/>
      <c r="B5" s="1"/>
      <c r="C5" s="1"/>
      <c r="D5" s="1"/>
      <c r="E5" s="1"/>
      <c r="F5" s="1"/>
      <c r="G5" s="1"/>
      <c r="H5" s="1"/>
      <c r="I5" s="1"/>
      <c r="J5" s="1"/>
      <c r="K5" s="1"/>
      <c r="L5" s="1"/>
      <c r="M5" s="1"/>
      <c r="N5" s="1"/>
      <c r="O5" s="1"/>
    </row>
    <row r="6" spans="1:60" x14ac:dyDescent="0.2">
      <c r="A6" s="1"/>
      <c r="C6" s="24"/>
      <c r="D6" s="1"/>
      <c r="E6" s="1"/>
      <c r="F6" s="1"/>
      <c r="G6" s="1"/>
      <c r="H6" s="1"/>
      <c r="I6" s="1"/>
      <c r="J6" s="1"/>
      <c r="K6" s="1"/>
      <c r="L6" s="1"/>
      <c r="M6" s="1"/>
      <c r="N6" s="1"/>
      <c r="O6" s="1"/>
    </row>
    <row r="7" spans="1:60" ht="15" x14ac:dyDescent="0.2">
      <c r="A7" s="1"/>
      <c r="B7" s="377" t="s">
        <v>213</v>
      </c>
      <c r="C7" s="1"/>
      <c r="D7" s="1"/>
      <c r="E7" s="1"/>
      <c r="F7" s="1"/>
      <c r="G7" s="1"/>
      <c r="H7" s="1"/>
      <c r="I7" s="1"/>
      <c r="J7" s="1"/>
      <c r="K7" s="1"/>
      <c r="L7" s="1"/>
      <c r="M7" s="1"/>
      <c r="N7" s="1"/>
      <c r="O7" s="1"/>
    </row>
    <row r="8" spans="1:60" ht="15.75" customHeight="1" thickBot="1" x14ac:dyDescent="0.95">
      <c r="A8" s="1"/>
      <c r="B8" s="25" t="s">
        <v>448</v>
      </c>
      <c r="C8" s="26" t="str">
        <f>HYPERLINK("#"&amp;ADDRESS(ROW(),COLUMN()-1),CHAR(128))</f>
        <v>Ђ</v>
      </c>
      <c r="D8" s="29"/>
      <c r="E8" s="29"/>
      <c r="F8" s="30"/>
      <c r="G8" s="30"/>
      <c r="H8" s="30"/>
      <c r="I8" s="7"/>
      <c r="J8" s="7"/>
      <c r="K8" s="7"/>
      <c r="L8" s="7"/>
      <c r="M8" s="9"/>
      <c r="N8" s="9"/>
      <c r="O8" s="9"/>
      <c r="Q8" s="20"/>
      <c r="R8" s="20"/>
      <c r="S8" s="20"/>
      <c r="T8" s="21"/>
      <c r="U8" s="21"/>
      <c r="V8" s="21"/>
    </row>
    <row r="9" spans="1:60" ht="23.25" x14ac:dyDescent="0.35">
      <c r="A9" s="464" t="str">
        <f>IF($B$8="English","Analyst databook","Справочник аналитика")</f>
        <v>Справочник аналитика</v>
      </c>
      <c r="B9" s="464"/>
      <c r="C9" s="464"/>
      <c r="D9" s="464"/>
      <c r="E9" s="464"/>
      <c r="F9" s="464"/>
      <c r="G9" s="464"/>
      <c r="H9" s="464"/>
      <c r="I9" s="464"/>
      <c r="J9" s="464"/>
      <c r="K9" s="464"/>
      <c r="L9" s="7"/>
      <c r="M9" s="8"/>
      <c r="N9" s="8"/>
      <c r="O9" s="8"/>
      <c r="Q9" s="20"/>
      <c r="R9" s="20"/>
      <c r="S9" s="20"/>
      <c r="T9" s="21"/>
      <c r="U9" s="21"/>
      <c r="V9" s="21"/>
    </row>
    <row r="10" spans="1:60" ht="12" customHeight="1" x14ac:dyDescent="0.3">
      <c r="A10" s="489" t="str">
        <f>IF($B$8="English","Updated on April 27, 2022","Обновлен 23.05.2023")</f>
        <v>Обновлен 23.05.2023</v>
      </c>
      <c r="B10" s="489"/>
      <c r="C10" s="489"/>
      <c r="D10" s="489"/>
      <c r="E10" s="489"/>
      <c r="F10" s="489"/>
      <c r="G10" s="489"/>
      <c r="H10" s="489"/>
      <c r="I10" s="489"/>
      <c r="J10" s="489"/>
      <c r="K10" s="489"/>
      <c r="L10" s="7"/>
      <c r="M10" s="1"/>
      <c r="N10" s="1"/>
      <c r="O10" s="1"/>
      <c r="Q10" s="20"/>
      <c r="R10" s="20"/>
      <c r="S10" s="20"/>
      <c r="T10" s="21"/>
      <c r="U10" s="21"/>
      <c r="V10" s="21"/>
    </row>
    <row r="11" spans="1:60" s="11" customFormat="1" ht="23.25" x14ac:dyDescent="0.35">
      <c r="A11" s="10" t="str">
        <f>IF($B$8="English","Contents","Содержание")</f>
        <v>Содержание</v>
      </c>
      <c r="B11" s="10"/>
      <c r="C11" s="10"/>
      <c r="D11" s="10"/>
      <c r="E11" s="10"/>
      <c r="F11" s="10"/>
      <c r="G11" s="10"/>
      <c r="H11" s="10"/>
      <c r="I11" s="65"/>
      <c r="J11" s="65"/>
      <c r="K11" s="65"/>
      <c r="L11" s="7"/>
      <c r="M11" s="10"/>
      <c r="N11" s="10"/>
      <c r="O11" s="10"/>
      <c r="P11" s="13"/>
      <c r="Q11" s="22"/>
      <c r="R11" s="22"/>
      <c r="S11" s="22"/>
      <c r="T11" s="23"/>
      <c r="U11" s="23"/>
      <c r="V11" s="23"/>
      <c r="BF11" s="28"/>
    </row>
    <row r="12" spans="1:60" s="11" customFormat="1" ht="23.25" x14ac:dyDescent="0.35">
      <c r="A12" s="467" t="str">
        <f>IF($B$8="English","►Disclaimer","►Заявление об ограничении ответственности")</f>
        <v>►Заявление об ограничении ответственности</v>
      </c>
      <c r="B12" s="467"/>
      <c r="C12" s="467"/>
      <c r="D12" s="467"/>
      <c r="E12" s="467"/>
      <c r="F12" s="467"/>
      <c r="G12" s="467"/>
      <c r="H12" s="467"/>
      <c r="I12" s="467"/>
      <c r="J12" s="467"/>
      <c r="K12" s="467"/>
      <c r="L12" s="7"/>
      <c r="M12" s="10"/>
      <c r="N12" s="10"/>
      <c r="O12" s="10"/>
      <c r="P12" s="13"/>
      <c r="Q12" s="22"/>
      <c r="R12" s="22"/>
      <c r="S12" s="22"/>
      <c r="T12" s="23"/>
      <c r="U12" s="23"/>
      <c r="V12" s="23"/>
      <c r="BF12" s="28"/>
    </row>
    <row r="13" spans="1:60" s="11" customFormat="1" ht="23.25" x14ac:dyDescent="0.35">
      <c r="A13" s="467" t="str">
        <f>IF($B$8="English","►Definitions","►Глоссарий")</f>
        <v>►Глоссарий</v>
      </c>
      <c r="B13" s="467"/>
      <c r="C13" s="467"/>
      <c r="D13" s="467"/>
      <c r="E13" s="467"/>
      <c r="F13" s="467"/>
      <c r="G13" s="467"/>
      <c r="H13" s="467"/>
      <c r="I13" s="467"/>
      <c r="J13" s="467"/>
      <c r="K13" s="467"/>
      <c r="L13" s="7"/>
      <c r="M13" s="10"/>
      <c r="N13" s="10"/>
      <c r="O13" s="10"/>
      <c r="P13" s="13"/>
      <c r="Q13" s="22"/>
      <c r="R13" s="22"/>
      <c r="S13" s="22"/>
      <c r="T13" s="23"/>
      <c r="U13" s="23"/>
      <c r="V13" s="23"/>
    </row>
    <row r="14" spans="1:60" s="11" customFormat="1" ht="23.25" x14ac:dyDescent="0.35">
      <c r="A14" s="467" t="str">
        <f>IF($B$8="English","►Macroeconomics","►Макроэкономические показатели")</f>
        <v>►Макроэкономические показатели</v>
      </c>
      <c r="B14" s="467"/>
      <c r="C14" s="467"/>
      <c r="D14" s="467"/>
      <c r="E14" s="467"/>
      <c r="F14" s="467"/>
      <c r="G14" s="467"/>
      <c r="H14" s="467"/>
      <c r="I14" s="467"/>
      <c r="J14" s="467"/>
      <c r="K14" s="467"/>
      <c r="L14" s="7"/>
      <c r="M14" s="10"/>
      <c r="N14" s="10"/>
      <c r="O14" s="10"/>
      <c r="P14" s="13"/>
      <c r="Q14" s="22"/>
      <c r="R14" s="22"/>
      <c r="S14" s="22"/>
      <c r="T14" s="23"/>
      <c r="U14" s="23"/>
      <c r="V14" s="23"/>
    </row>
    <row r="15" spans="1:60" s="7" customFormat="1" ht="21" x14ac:dyDescent="0.3">
      <c r="A15" s="467" t="str">
        <f>IF($B$8="English","►Shareholder capital","►Уставный капитал")</f>
        <v>►Уставный капитал</v>
      </c>
      <c r="B15" s="467"/>
      <c r="C15" s="467"/>
      <c r="D15" s="467"/>
      <c r="E15" s="467"/>
      <c r="F15" s="467"/>
      <c r="G15" s="467"/>
      <c r="H15" s="467"/>
      <c r="I15" s="467"/>
      <c r="J15" s="467"/>
      <c r="K15" s="46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row>
    <row r="16" spans="1:60" s="7" customFormat="1" ht="21" x14ac:dyDescent="0.35">
      <c r="A16" s="468" t="str">
        <f>IF($B$8="English","►Share price quotes","►Котировки акций")</f>
        <v>►Котировки акций</v>
      </c>
      <c r="B16" s="468"/>
      <c r="C16" s="468"/>
      <c r="D16" s="468"/>
      <c r="E16" s="468"/>
      <c r="F16" s="468"/>
      <c r="G16" s="468"/>
      <c r="H16" s="468"/>
      <c r="I16" s="468"/>
      <c r="J16" s="468"/>
      <c r="K16" s="468"/>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row>
    <row r="17" spans="1:60" s="7" customFormat="1" ht="21" x14ac:dyDescent="0.35">
      <c r="A17" s="468" t="str">
        <f>IF($B$8="English","►Financial statements (IFRS)","►Финансовая отчетность (МСФО)")</f>
        <v>►Финансовая отчетность (МСФО)</v>
      </c>
      <c r="B17" s="468"/>
      <c r="C17" s="468"/>
      <c r="D17" s="468"/>
      <c r="E17" s="468"/>
      <c r="F17" s="468"/>
      <c r="G17" s="468"/>
      <c r="H17" s="468"/>
      <c r="I17" s="468"/>
      <c r="J17" s="468"/>
      <c r="K17" s="468"/>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row>
    <row r="18" spans="1:60" s="7" customFormat="1" ht="21" x14ac:dyDescent="0.35">
      <c r="A18" s="468" t="str">
        <f>IF($B$8="English","►Financial ratios","►Финансовые коэффициенты")</f>
        <v>►Финансовые коэффициенты</v>
      </c>
      <c r="B18" s="468"/>
      <c r="C18" s="468"/>
      <c r="D18" s="468"/>
      <c r="E18" s="468"/>
      <c r="F18" s="468"/>
      <c r="G18" s="468"/>
      <c r="H18" s="468"/>
      <c r="I18" s="468"/>
      <c r="J18" s="468"/>
      <c r="K18" s="468"/>
      <c r="P18" s="18"/>
      <c r="Q18" s="18"/>
      <c r="R18" s="18"/>
      <c r="S18" s="18"/>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row>
    <row r="19" spans="1:60" s="7" customFormat="1" ht="21" x14ac:dyDescent="0.35">
      <c r="A19" s="468" t="str">
        <f>IF($B$8="English","►Operational data","►Характеристики активов")</f>
        <v>►Характеристики активов</v>
      </c>
      <c r="B19" s="468"/>
      <c r="C19" s="468"/>
      <c r="D19" s="468"/>
      <c r="E19" s="468"/>
      <c r="F19" s="468"/>
      <c r="G19" s="468"/>
      <c r="H19" s="468"/>
      <c r="I19" s="468"/>
      <c r="J19" s="468"/>
      <c r="K19" s="468"/>
      <c r="P19" s="17"/>
      <c r="Q19" s="17"/>
      <c r="R19" s="20"/>
      <c r="S19" s="18"/>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row>
    <row r="20" spans="1:60" s="7" customFormat="1" ht="21" x14ac:dyDescent="0.35">
      <c r="A20" s="468" t="str">
        <f>IF($B$8="English","►Energy transmission","►Передача электроэнергии")</f>
        <v>►Передача электроэнергии</v>
      </c>
      <c r="B20" s="468"/>
      <c r="C20" s="468"/>
      <c r="D20" s="468"/>
      <c r="E20" s="468"/>
      <c r="F20" s="468"/>
      <c r="G20" s="468"/>
      <c r="H20" s="468"/>
      <c r="I20" s="468"/>
      <c r="J20" s="468"/>
      <c r="K20" s="468"/>
      <c r="P20" s="18"/>
      <c r="Q20" s="18"/>
      <c r="R20" s="18"/>
      <c r="S20" s="18"/>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row>
    <row r="21" spans="1:60" s="7" customFormat="1" ht="21" x14ac:dyDescent="0.35">
      <c r="A21" s="468" t="str">
        <f>IF($B$8="English","►Investment program","►Инвестиционная Программа")</f>
        <v>►Инвестиционная Программа</v>
      </c>
      <c r="B21" s="468"/>
      <c r="C21" s="468"/>
      <c r="D21" s="468"/>
      <c r="E21" s="468"/>
      <c r="F21" s="468"/>
      <c r="G21" s="468"/>
      <c r="H21" s="468"/>
      <c r="I21" s="468"/>
      <c r="J21" s="468"/>
      <c r="K21" s="468"/>
      <c r="P21" s="18"/>
      <c r="Q21" s="18"/>
      <c r="R21" s="18"/>
      <c r="S21" s="18"/>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row>
    <row r="22" spans="1:60" s="7" customFormat="1" ht="21" x14ac:dyDescent="0.35">
      <c r="A22" s="468" t="str">
        <f>IF($B$8="English","►Long-term investment program","►Долгосрочная Инвестиционная Программа")</f>
        <v>►Долгосрочная Инвестиционная Программа</v>
      </c>
      <c r="B22" s="468"/>
      <c r="C22" s="468"/>
      <c r="D22" s="468"/>
      <c r="E22" s="468"/>
      <c r="F22" s="468"/>
      <c r="G22" s="468"/>
      <c r="H22" s="468"/>
      <c r="I22" s="468"/>
      <c r="J22" s="468"/>
      <c r="K22" s="468"/>
      <c r="P22" s="18"/>
      <c r="Q22" s="18"/>
      <c r="R22" s="20"/>
      <c r="S22" s="18"/>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row>
    <row r="23" spans="1:60" s="7" customFormat="1" ht="21" x14ac:dyDescent="0.35">
      <c r="A23" s="468" t="str">
        <f>IF($B$8="English","►RAB","►RAB")</f>
        <v>►RAB</v>
      </c>
      <c r="B23" s="468"/>
      <c r="C23" s="468"/>
      <c r="D23" s="468"/>
      <c r="E23" s="468"/>
      <c r="F23" s="468"/>
      <c r="G23" s="468"/>
      <c r="H23" s="468"/>
      <c r="I23" s="468"/>
      <c r="J23" s="468"/>
      <c r="K23" s="468"/>
      <c r="P23" s="18"/>
      <c r="Q23" s="18"/>
      <c r="R23" s="20"/>
      <c r="S23" s="18"/>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row>
    <row r="24" spans="1:60" s="7" customFormat="1" ht="20.25" x14ac:dyDescent="0.3">
      <c r="P24" s="18"/>
      <c r="Q24" s="18"/>
      <c r="R24" s="18"/>
      <c r="S24" s="18"/>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row>
    <row r="25" spans="1:60" s="1" customFormat="1" x14ac:dyDescent="0.2">
      <c r="A25" s="2"/>
      <c r="B25" s="2"/>
      <c r="C25" s="2"/>
      <c r="D25" s="2"/>
      <c r="E25" s="2"/>
      <c r="F25" s="2"/>
      <c r="G25" s="2"/>
      <c r="H25" s="2"/>
      <c r="I25" s="2"/>
      <c r="J25" s="2"/>
      <c r="K25" s="2"/>
      <c r="P25" s="27"/>
      <c r="Q25" s="27"/>
      <c r="R25" s="27"/>
      <c r="S25" s="27"/>
    </row>
    <row r="26" spans="1:60" s="6" customFormat="1" ht="21" x14ac:dyDescent="0.35">
      <c r="A26" s="66"/>
      <c r="B26" s="66"/>
      <c r="C26" s="67"/>
      <c r="D26" s="67"/>
      <c r="E26" s="67"/>
      <c r="F26" s="67"/>
      <c r="G26" s="67"/>
      <c r="H26" s="67"/>
      <c r="I26" s="67"/>
      <c r="J26" s="67"/>
      <c r="K26" s="67"/>
      <c r="L26" s="5"/>
      <c r="M26" s="5"/>
      <c r="N26" s="5"/>
      <c r="O26" s="5"/>
      <c r="P26" s="14"/>
      <c r="Q26" s="16"/>
      <c r="R26" s="16"/>
      <c r="S26" s="16"/>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s="389" customFormat="1" ht="23.25" x14ac:dyDescent="0.2">
      <c r="A27" s="427" t="str">
        <f>IF($B$8="English","Contact information","Контактная информация")</f>
        <v>Контактная информация</v>
      </c>
      <c r="B27" s="385"/>
      <c r="C27" s="386"/>
      <c r="D27" s="386"/>
      <c r="E27" s="386"/>
      <c r="F27" s="386"/>
      <c r="G27" s="387"/>
      <c r="H27" s="386"/>
      <c r="I27" s="386"/>
      <c r="J27" s="386"/>
      <c r="K27" s="386"/>
      <c r="L27" s="387"/>
      <c r="M27" s="387"/>
      <c r="N27" s="387"/>
      <c r="O27" s="387"/>
      <c r="P27" s="388"/>
      <c r="Q27" s="388"/>
      <c r="R27" s="388"/>
      <c r="S27" s="388"/>
    </row>
    <row r="28" spans="1:60" s="4" customFormat="1" x14ac:dyDescent="0.2">
      <c r="A28" s="2" t="s">
        <v>33</v>
      </c>
      <c r="B28" s="2"/>
      <c r="C28" s="2"/>
      <c r="D28" s="2"/>
      <c r="E28" s="2"/>
      <c r="F28" s="2"/>
      <c r="G28" s="3"/>
      <c r="H28" s="2"/>
      <c r="I28" s="2"/>
      <c r="J28" s="84" t="str">
        <f>IF($B$8="English","Investor","Календарь")</f>
        <v>Календарь</v>
      </c>
      <c r="K28" s="2"/>
      <c r="L28" s="3"/>
      <c r="M28" s="3"/>
      <c r="N28" s="3"/>
      <c r="O28" s="3"/>
      <c r="P28" s="15"/>
      <c r="Q28" s="15"/>
      <c r="R28" s="15"/>
      <c r="S28" s="15"/>
    </row>
    <row r="29" spans="1:60" s="4" customFormat="1" x14ac:dyDescent="0.2">
      <c r="A29" s="2" t="s">
        <v>452</v>
      </c>
      <c r="B29" s="2"/>
      <c r="C29" s="2"/>
      <c r="D29" s="2"/>
      <c r="E29" s="2"/>
      <c r="F29" s="2"/>
      <c r="G29" s="2"/>
      <c r="H29" s="2"/>
      <c r="I29" s="2"/>
      <c r="J29" s="85" t="str">
        <f>IF($B$8="English","calendar","инвестора")</f>
        <v>инвестора</v>
      </c>
      <c r="K29" s="2"/>
      <c r="L29" s="3"/>
      <c r="M29" s="3"/>
      <c r="N29" s="3"/>
      <c r="O29" s="3"/>
      <c r="P29" s="15"/>
      <c r="Q29" s="15"/>
      <c r="R29" s="15"/>
      <c r="S29" s="15"/>
    </row>
    <row r="30" spans="1:60" s="1" customFormat="1" x14ac:dyDescent="0.2">
      <c r="A30" s="2"/>
      <c r="B30" s="2"/>
      <c r="C30" s="2"/>
      <c r="D30" s="2"/>
      <c r="E30" s="2"/>
      <c r="F30" s="2"/>
      <c r="G30" s="2"/>
      <c r="H30" s="2"/>
      <c r="I30" s="2"/>
      <c r="J30" s="2"/>
      <c r="K30" s="2"/>
      <c r="P30" s="27"/>
      <c r="Q30" s="27"/>
      <c r="R30" s="27"/>
      <c r="S30" s="27"/>
    </row>
    <row r="31" spans="1:60" s="1" customFormat="1" ht="15" customHeight="1" x14ac:dyDescent="0.2">
      <c r="A31" s="465" t="str">
        <f>IF($B$8="English","Copyright © 2023 by  «Rosseti Lenenergo», PJSC. All rights reserved.","© ПАО «Россети Ленэнерго», 2023. Все права защищены.")</f>
        <v>© ПАО «Россети Ленэнерго», 2023. Все права защищены.</v>
      </c>
      <c r="B31" s="465"/>
      <c r="C31" s="465"/>
      <c r="D31" s="465"/>
      <c r="E31" s="465"/>
      <c r="F31" s="465"/>
      <c r="G31" s="465"/>
      <c r="H31" s="465"/>
      <c r="I31" s="465"/>
      <c r="J31" s="465"/>
      <c r="K31" s="465"/>
      <c r="P31" s="27"/>
      <c r="Q31" s="27"/>
      <c r="R31" s="27"/>
      <c r="S31" s="27"/>
    </row>
    <row r="32" spans="1:60" s="1" customFormat="1" x14ac:dyDescent="0.2">
      <c r="P32" s="27"/>
      <c r="Q32" s="27"/>
      <c r="R32" s="27"/>
      <c r="S32" s="27"/>
    </row>
    <row r="34" spans="5:13" ht="15" x14ac:dyDescent="0.25">
      <c r="E34" s="465"/>
      <c r="F34" s="466"/>
      <c r="G34" s="466"/>
      <c r="H34" s="466"/>
      <c r="I34" s="466"/>
      <c r="J34" s="466"/>
      <c r="K34" s="466"/>
      <c r="L34" s="466"/>
      <c r="M34" s="466"/>
    </row>
    <row r="35" spans="5:13" ht="15" x14ac:dyDescent="0.25">
      <c r="E35" s="465"/>
      <c r="F35" s="466"/>
      <c r="G35" s="466"/>
      <c r="H35" s="466"/>
      <c r="I35" s="466"/>
      <c r="J35" s="466"/>
      <c r="K35" s="466"/>
      <c r="L35" s="466"/>
      <c r="M35" s="466"/>
    </row>
  </sheetData>
  <sheetProtection formatCells="0" formatColumns="0" formatRows="0" insertColumns="0" insertRows="0" insertHyperlinks="0" deleteColumns="0" deleteRows="0" sort="0" autoFilter="0" pivotTables="0"/>
  <mergeCells count="17">
    <mergeCell ref="A21:K21"/>
    <mergeCell ref="A9:K9"/>
    <mergeCell ref="E34:M34"/>
    <mergeCell ref="A31:K31"/>
    <mergeCell ref="E35:M35"/>
    <mergeCell ref="A10:K10"/>
    <mergeCell ref="A12:K12"/>
    <mergeCell ref="A13:K13"/>
    <mergeCell ref="A14:K14"/>
    <mergeCell ref="A15:K15"/>
    <mergeCell ref="A16:K16"/>
    <mergeCell ref="A17:K17"/>
    <mergeCell ref="A18:K18"/>
    <mergeCell ref="A19:K19"/>
    <mergeCell ref="A20:K20"/>
    <mergeCell ref="A22:K22"/>
    <mergeCell ref="A23:K23"/>
  </mergeCells>
  <dataValidations count="1">
    <dataValidation type="list" allowBlank="1" showInputMessage="1" showErrorMessage="1" sqref="B8">
      <formula1>"English,Русский"</formula1>
    </dataValidation>
  </dataValidations>
  <hyperlinks>
    <hyperlink ref="A19" location="'Характеристика активов'!A1" display="Характеристика активов"/>
    <hyperlink ref="A20" location="'Передача ээ'!A1" display="Передача электроэнергии"/>
    <hyperlink ref="A21" location="'Инвестиционная Программа'!A1" display="Инвестиционная Программа"/>
    <hyperlink ref="A23" location="'параметры RAB (НВВ до 2020)'!A1" display="►Параметры RAB"/>
    <hyperlink ref="A28" r:id="rId1"/>
    <hyperlink ref="A22" location="'Долгосрочная ИП 2017-2020'!A1" display="►Параметры долгосрочной Инвестиционной Программы"/>
    <hyperlink ref="A13" location="Definitions!A1" display="Definitions!A1"/>
    <hyperlink ref="A14" location="Macroeconomics!A1" display="Macroeconomics!A1"/>
    <hyperlink ref="A18" location="'Уставный Капитал'!A1" display="►Уставный капитал"/>
    <hyperlink ref="A17" location="'Уставный Капитал'!A1" display="►Уставный капитал"/>
    <hyperlink ref="A12" location="Disclaimer!A1" display="Disclaimer!A1"/>
    <hyperlink ref="A15" location="'Уставный Капитал'!A1" display="►Уставный капитал"/>
    <hyperlink ref="A15:K15" location="'Shareholder capital'!A1" display="'Shareholder capital'!A1"/>
    <hyperlink ref="A16" location="Акции!A1" display="►Информация по акциям"/>
    <hyperlink ref="A23:K23" location="'RAB '!A1" display="'RAB '!A1"/>
    <hyperlink ref="A20:K20" location="'Energy transmission'!A1" display="'Energy transmission'!A1"/>
    <hyperlink ref="A19:K19" location="'Operational data'!A1" display="'Operational data'!A1"/>
    <hyperlink ref="A16:K16" location="'Share price quotes'!A1" display="'Share price quotes'!A1"/>
    <hyperlink ref="G27:G28" r:id="rId2" display="http://www.lenenergo.ru/shareholders/investors/invest_cal/"/>
    <hyperlink ref="A17:K17" location="'Financial statements (IFRS)'!A1" display="'Financial statements (IFRS)'!A1"/>
    <hyperlink ref="A18:K18" location="'Financial ratios'!A1" display="'Financial ratios'!A1"/>
    <hyperlink ref="A21:K21" location="'Investment program'!Область_печати" display="'Investment program'!Область_печати"/>
    <hyperlink ref="A22:K22" location="'LT investment program'!Область_печати" display="'LT investment program'!Область_печати"/>
  </hyperlinks>
  <pageMargins left="0.7" right="0.7" top="0.75" bottom="0.75" header="0.3" footer="0.3"/>
  <pageSetup paperSize="9" scale="86"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5" tint="0.59999389629810485"/>
    <pageSetUpPr fitToPage="1"/>
  </sheetPr>
  <dimension ref="B4:X159"/>
  <sheetViews>
    <sheetView view="pageBreakPreview" zoomScale="80" zoomScaleNormal="100" zoomScaleSheetLayoutView="80" workbookViewId="0">
      <selection activeCell="I6" sqref="I6"/>
    </sheetView>
  </sheetViews>
  <sheetFormatPr defaultColWidth="9.140625" defaultRowHeight="12.75" x14ac:dyDescent="0.2"/>
  <cols>
    <col min="1" max="1" width="2.28515625" style="31" customWidth="1"/>
    <col min="2" max="2" width="48.42578125" style="136" bestFit="1" customWidth="1"/>
    <col min="3" max="8" width="6.5703125" style="31" hidden="1" customWidth="1"/>
    <col min="9" max="9" width="12.7109375" style="31" customWidth="1"/>
    <col min="10" max="11" width="12" style="31" customWidth="1"/>
    <col min="12" max="12" width="12.140625" style="31" customWidth="1"/>
    <col min="13" max="13" width="12.85546875" style="31" customWidth="1"/>
    <col min="14" max="16384" width="9.140625" style="31"/>
  </cols>
  <sheetData>
    <row r="4" spans="2:24" ht="15" customHeight="1" x14ac:dyDescent="0.2"/>
    <row r="5" spans="2:24" ht="14.25" customHeight="1" x14ac:dyDescent="0.2">
      <c r="E5" s="281"/>
      <c r="F5" s="281"/>
      <c r="G5" s="281"/>
      <c r="H5" s="473" t="str">
        <f>IF(Contents!$B$8="English","Contents","Содержание")</f>
        <v>Содержание</v>
      </c>
      <c r="I5" s="473"/>
      <c r="L5" s="473" t="str">
        <f>IF(Contents!$B$8="English","Next","Вперед")</f>
        <v>Вперед</v>
      </c>
      <c r="M5" s="473"/>
    </row>
    <row r="6" spans="2:24" ht="14.25" customHeight="1" x14ac:dyDescent="0.2">
      <c r="B6" s="31"/>
      <c r="D6" s="383"/>
      <c r="E6" s="378"/>
      <c r="F6" s="378"/>
      <c r="G6" s="378"/>
      <c r="H6" s="378"/>
      <c r="L6" s="473" t="str">
        <f>IF(Contents!$B$8="English","Back","Назад")</f>
        <v>Назад</v>
      </c>
      <c r="M6" s="473"/>
    </row>
    <row r="7" spans="2:24" ht="18" x14ac:dyDescent="0.25">
      <c r="B7" s="486" t="str">
        <f>IF(Contents!$B$8="English","Energy transmission","Передача электроэнергии")</f>
        <v>Передача электроэнергии</v>
      </c>
      <c r="C7" s="486"/>
      <c r="D7" s="486"/>
      <c r="E7" s="486"/>
      <c r="F7" s="486"/>
      <c r="G7" s="486"/>
      <c r="H7" s="486"/>
      <c r="I7" s="486"/>
      <c r="J7" s="486"/>
      <c r="K7" s="486"/>
      <c r="L7" s="486"/>
      <c r="M7" s="486"/>
    </row>
    <row r="9" spans="2:24" x14ac:dyDescent="0.2">
      <c r="B9" s="167" t="str">
        <f>IF(Contents!$B$8="English",B95,B53)</f>
        <v>Отпуск в сеть, млн кВтч</v>
      </c>
      <c r="D9" s="131"/>
    </row>
    <row r="10" spans="2:24" x14ac:dyDescent="0.2">
      <c r="B10" s="179"/>
      <c r="C10" s="118">
        <v>2012</v>
      </c>
      <c r="D10" s="118">
        <v>2013</v>
      </c>
      <c r="E10" s="118">
        <v>2014</v>
      </c>
      <c r="F10" s="118">
        <v>2015</v>
      </c>
      <c r="G10" s="118">
        <v>2016</v>
      </c>
      <c r="H10" s="118">
        <v>2017</v>
      </c>
      <c r="I10" s="118">
        <v>2018</v>
      </c>
      <c r="J10" s="118">
        <v>2019</v>
      </c>
      <c r="K10" s="118">
        <v>2020</v>
      </c>
      <c r="L10" s="118">
        <v>2021</v>
      </c>
      <c r="M10" s="151">
        <v>2022</v>
      </c>
    </row>
    <row r="11" spans="2:24" x14ac:dyDescent="0.2">
      <c r="B11" s="136" t="str">
        <f>IF(Contents!$B$8="English",B97,B55)</f>
        <v>ПАО "Россети Ленэнерго"</v>
      </c>
      <c r="C11" s="134">
        <v>34514</v>
      </c>
      <c r="D11" s="134">
        <v>33945</v>
      </c>
      <c r="E11" s="134">
        <v>33247.5888042445</v>
      </c>
      <c r="F11" s="134">
        <v>33401.175139999999</v>
      </c>
      <c r="G11" s="134">
        <v>34160</v>
      </c>
      <c r="H11" s="134">
        <v>34791.197544999995</v>
      </c>
      <c r="I11" s="134">
        <v>35558.486844350002</v>
      </c>
      <c r="J11" s="134">
        <v>35464.625057996003</v>
      </c>
      <c r="K11" s="134">
        <v>34210.104149949999</v>
      </c>
      <c r="L11" s="134">
        <v>37205.468812000006</v>
      </c>
      <c r="M11" s="431">
        <v>37065.006412000002</v>
      </c>
      <c r="N11" s="123"/>
      <c r="O11" s="123"/>
      <c r="P11" s="123"/>
      <c r="Q11" s="123"/>
      <c r="R11" s="123"/>
      <c r="S11" s="123"/>
      <c r="T11" s="123"/>
      <c r="U11" s="123"/>
      <c r="V11" s="123"/>
      <c r="W11" s="123"/>
      <c r="X11" s="123"/>
    </row>
    <row r="12" spans="2:24" x14ac:dyDescent="0.2">
      <c r="B12" s="136" t="str">
        <f>IF(Contents!$B$8="English",B98,B56)</f>
        <v>г. Санкт-Петербург</v>
      </c>
      <c r="C12" s="134">
        <v>21811</v>
      </c>
      <c r="D12" s="134">
        <v>21730</v>
      </c>
      <c r="E12" s="134">
        <v>20982.438778926</v>
      </c>
      <c r="F12" s="134">
        <v>20960.644700845995</v>
      </c>
      <c r="G12" s="134">
        <v>21484</v>
      </c>
      <c r="H12" s="134">
        <v>21826.184730999994</v>
      </c>
      <c r="I12" s="134">
        <v>22203.857200999999</v>
      </c>
      <c r="J12" s="134">
        <v>21941.516861319004</v>
      </c>
      <c r="K12" s="134">
        <v>20716</v>
      </c>
      <c r="L12" s="134">
        <v>22302.829568000001</v>
      </c>
      <c r="M12" s="431">
        <v>21967.452776999999</v>
      </c>
      <c r="N12" s="123"/>
      <c r="O12" s="123"/>
      <c r="P12" s="123"/>
      <c r="Q12" s="123"/>
      <c r="R12" s="123"/>
      <c r="S12" s="123"/>
      <c r="T12" s="123"/>
      <c r="U12" s="123"/>
      <c r="V12" s="123"/>
      <c r="W12" s="123"/>
      <c r="X12" s="123"/>
    </row>
    <row r="13" spans="2:24" x14ac:dyDescent="0.2">
      <c r="B13" s="136" t="str">
        <f>IF(Contents!$B$8="English",B99,B57)</f>
        <v>Ленинградская область</v>
      </c>
      <c r="C13" s="134">
        <v>12703</v>
      </c>
      <c r="D13" s="134">
        <v>12215</v>
      </c>
      <c r="E13" s="134">
        <v>12265.1500253185</v>
      </c>
      <c r="F13" s="134">
        <v>12440.530439154007</v>
      </c>
      <c r="G13" s="134">
        <v>12676</v>
      </c>
      <c r="H13" s="134">
        <v>12965.012814000002</v>
      </c>
      <c r="I13" s="134">
        <v>13354.629643350001</v>
      </c>
      <c r="J13" s="134">
        <v>13523.108196677002</v>
      </c>
      <c r="K13" s="134">
        <v>13494</v>
      </c>
      <c r="L13" s="134">
        <v>14902.639244000002</v>
      </c>
      <c r="M13" s="431">
        <v>15097.553635</v>
      </c>
      <c r="N13" s="123"/>
      <c r="O13" s="123"/>
      <c r="P13" s="123"/>
      <c r="Q13" s="123"/>
      <c r="R13" s="123"/>
      <c r="S13" s="123"/>
      <c r="T13" s="123"/>
      <c r="U13" s="123"/>
      <c r="V13" s="123"/>
      <c r="W13" s="123"/>
      <c r="X13" s="123"/>
    </row>
    <row r="14" spans="2:24" x14ac:dyDescent="0.2">
      <c r="C14" s="134"/>
      <c r="D14" s="134"/>
      <c r="E14" s="134"/>
      <c r="F14" s="134"/>
      <c r="G14" s="134"/>
      <c r="H14" s="134"/>
      <c r="I14" s="134"/>
      <c r="J14" s="134"/>
      <c r="K14" s="134"/>
      <c r="N14" s="123"/>
      <c r="O14" s="123"/>
      <c r="P14" s="123"/>
      <c r="Q14" s="123"/>
      <c r="R14" s="123"/>
      <c r="S14" s="123"/>
      <c r="T14" s="123"/>
      <c r="U14" s="123"/>
      <c r="V14" s="123"/>
      <c r="W14" s="123"/>
      <c r="X14" s="123"/>
    </row>
    <row r="15" spans="2:24" x14ac:dyDescent="0.2">
      <c r="B15" s="167" t="str">
        <f>IF(Contents!$B$8="English",B101,B59)</f>
        <v>Отпуск из сети, млн кВтч</v>
      </c>
      <c r="C15" s="122"/>
      <c r="D15" s="122"/>
      <c r="E15" s="122"/>
      <c r="F15" s="122"/>
      <c r="G15" s="122"/>
      <c r="H15" s="122"/>
      <c r="I15" s="122"/>
      <c r="J15" s="122"/>
      <c r="K15" s="122"/>
    </row>
    <row r="16" spans="2:24" x14ac:dyDescent="0.2">
      <c r="B16" s="179"/>
      <c r="C16" s="118">
        <v>2012</v>
      </c>
      <c r="D16" s="118">
        <v>2013</v>
      </c>
      <c r="E16" s="118">
        <v>2014</v>
      </c>
      <c r="F16" s="118">
        <v>2015</v>
      </c>
      <c r="G16" s="118">
        <v>2016</v>
      </c>
      <c r="H16" s="118">
        <v>2017</v>
      </c>
      <c r="I16" s="118">
        <v>2018</v>
      </c>
      <c r="J16" s="118">
        <v>2019</v>
      </c>
      <c r="K16" s="118">
        <v>2020</v>
      </c>
      <c r="L16" s="118">
        <v>2021</v>
      </c>
      <c r="M16" s="151">
        <v>2022</v>
      </c>
    </row>
    <row r="17" spans="2:24" x14ac:dyDescent="0.2">
      <c r="B17" s="136" t="str">
        <f>IF(Contents!$B$8="English",B103,B61)</f>
        <v>ПАО "Россети Ленэнерго"</v>
      </c>
      <c r="C17" s="134">
        <v>30935</v>
      </c>
      <c r="D17" s="134">
        <v>30514</v>
      </c>
      <c r="E17" s="134">
        <v>29570.127132751029</v>
      </c>
      <c r="F17" s="134">
        <v>29316.325637836122</v>
      </c>
      <c r="G17" s="134">
        <v>30220.3</v>
      </c>
      <c r="H17" s="134">
        <v>30597.995779399997</v>
      </c>
      <c r="I17" s="134">
        <v>31396.312697679099</v>
      </c>
      <c r="J17" s="134">
        <v>31497.470184380003</v>
      </c>
      <c r="K17" s="134">
        <v>30362.704847949997</v>
      </c>
      <c r="L17" s="134">
        <v>33094.761941999997</v>
      </c>
      <c r="M17" s="431">
        <v>32915.418191999997</v>
      </c>
      <c r="N17" s="123"/>
      <c r="O17" s="123"/>
      <c r="P17" s="123"/>
      <c r="Q17" s="123"/>
      <c r="R17" s="123"/>
      <c r="S17" s="123"/>
      <c r="T17" s="123"/>
      <c r="U17" s="123"/>
      <c r="V17" s="123"/>
      <c r="W17" s="123"/>
      <c r="X17" s="123"/>
    </row>
    <row r="18" spans="2:24" x14ac:dyDescent="0.2">
      <c r="B18" s="136" t="str">
        <f>IF(Contents!$B$8="English",B104,B62)</f>
        <v>г. Санкт-Петербург</v>
      </c>
      <c r="C18" s="134">
        <v>19477</v>
      </c>
      <c r="D18" s="134">
        <v>19460</v>
      </c>
      <c r="E18" s="134">
        <v>18646.324266</v>
      </c>
      <c r="F18" s="134">
        <v>18251.789419836125</v>
      </c>
      <c r="G18" s="134">
        <v>18874.43</v>
      </c>
      <c r="H18" s="134">
        <v>18998.646180399996</v>
      </c>
      <c r="I18" s="134">
        <v>19415.805928999998</v>
      </c>
      <c r="J18" s="134">
        <v>19289.150849380003</v>
      </c>
      <c r="K18" s="134">
        <v>18140</v>
      </c>
      <c r="L18" s="134">
        <v>19597.392250999997</v>
      </c>
      <c r="M18" s="431">
        <v>19333.576936999998</v>
      </c>
      <c r="N18" s="123"/>
      <c r="O18" s="123"/>
      <c r="P18" s="123"/>
      <c r="Q18" s="123"/>
      <c r="R18" s="123"/>
      <c r="S18" s="123"/>
      <c r="T18" s="123"/>
      <c r="U18" s="123"/>
      <c r="V18" s="123"/>
      <c r="W18" s="123"/>
      <c r="X18" s="123"/>
    </row>
    <row r="19" spans="2:24" x14ac:dyDescent="0.2">
      <c r="B19" s="136" t="str">
        <f>IF(Contents!$B$8="English",B105,B63)</f>
        <v>Ленинградская область</v>
      </c>
      <c r="C19" s="134">
        <v>11458</v>
      </c>
      <c r="D19" s="134">
        <v>11054</v>
      </c>
      <c r="E19" s="134">
        <v>10923.80286675103</v>
      </c>
      <c r="F19" s="134">
        <v>11064.536218000001</v>
      </c>
      <c r="G19" s="134">
        <v>11345.869999999999</v>
      </c>
      <c r="H19" s="134">
        <v>11599.349599000003</v>
      </c>
      <c r="I19" s="134">
        <v>11980.506768679101</v>
      </c>
      <c r="J19" s="134">
        <v>12208.319335</v>
      </c>
      <c r="K19" s="134">
        <v>12223</v>
      </c>
      <c r="L19" s="134">
        <v>13497.369691000002</v>
      </c>
      <c r="M19" s="431">
        <v>13581.841254999999</v>
      </c>
      <c r="N19" s="123"/>
      <c r="O19" s="123"/>
      <c r="P19" s="123"/>
      <c r="Q19" s="123"/>
      <c r="R19" s="123"/>
      <c r="S19" s="123"/>
      <c r="T19" s="123"/>
      <c r="U19" s="123"/>
      <c r="V19" s="123"/>
      <c r="W19" s="123"/>
      <c r="X19" s="123"/>
    </row>
    <row r="20" spans="2:24" x14ac:dyDescent="0.2">
      <c r="C20" s="134"/>
      <c r="D20" s="134"/>
      <c r="E20" s="134"/>
      <c r="F20" s="134"/>
      <c r="G20" s="134"/>
      <c r="H20" s="134"/>
      <c r="I20" s="134"/>
      <c r="J20" s="134"/>
      <c r="K20" s="134"/>
      <c r="N20" s="123"/>
      <c r="O20" s="123"/>
      <c r="P20" s="123"/>
      <c r="Q20" s="123"/>
      <c r="R20" s="123"/>
      <c r="S20" s="123"/>
      <c r="T20" s="123"/>
      <c r="U20" s="123"/>
      <c r="V20" s="123"/>
      <c r="W20" s="123"/>
      <c r="X20" s="123"/>
    </row>
    <row r="21" spans="2:24" x14ac:dyDescent="0.2">
      <c r="B21" s="167" t="str">
        <f>IF(Contents!$B$8="English",B107,B65)</f>
        <v>Полезный отпуск, млн кВтч</v>
      </c>
      <c r="C21" s="122"/>
      <c r="D21" s="122"/>
      <c r="E21" s="122"/>
      <c r="F21" s="122"/>
      <c r="G21" s="122"/>
      <c r="H21" s="122"/>
      <c r="I21" s="122"/>
      <c r="J21" s="122"/>
      <c r="K21" s="122"/>
    </row>
    <row r="22" spans="2:24" x14ac:dyDescent="0.2">
      <c r="B22" s="179"/>
      <c r="C22" s="118">
        <v>2012</v>
      </c>
      <c r="D22" s="118">
        <v>2013</v>
      </c>
      <c r="E22" s="118">
        <v>2014</v>
      </c>
      <c r="F22" s="118">
        <v>2015</v>
      </c>
      <c r="G22" s="118">
        <v>2016</v>
      </c>
      <c r="H22" s="118">
        <v>2017</v>
      </c>
      <c r="I22" s="118">
        <v>2018</v>
      </c>
      <c r="J22" s="118">
        <v>2019</v>
      </c>
      <c r="K22" s="118">
        <v>2020</v>
      </c>
      <c r="L22" s="118">
        <v>2021</v>
      </c>
      <c r="M22" s="151">
        <v>2022</v>
      </c>
    </row>
    <row r="23" spans="2:24" x14ac:dyDescent="0.2">
      <c r="B23" s="136" t="str">
        <f>IF(Contents!$B$8="English",B109,B67)</f>
        <v>ПАО "Россети Ленэнерго"</v>
      </c>
      <c r="C23" s="134">
        <v>30007</v>
      </c>
      <c r="D23" s="134">
        <v>29613</v>
      </c>
      <c r="E23" s="134">
        <v>28679.674927</v>
      </c>
      <c r="F23" s="134">
        <v>28249.277997995825</v>
      </c>
      <c r="G23" s="134">
        <v>29007</v>
      </c>
      <c r="H23" s="134">
        <v>29668.699858400003</v>
      </c>
      <c r="I23" s="134">
        <v>30560.285463350003</v>
      </c>
      <c r="J23" s="134">
        <v>30625.287882000001</v>
      </c>
      <c r="K23" s="134">
        <v>29580.349190000001</v>
      </c>
      <c r="L23" s="134">
        <v>32277.640397995998</v>
      </c>
      <c r="M23" s="431">
        <v>32091.135278002999</v>
      </c>
      <c r="N23" s="123"/>
      <c r="O23" s="123"/>
      <c r="P23" s="123"/>
      <c r="Q23" s="123"/>
      <c r="R23" s="123"/>
      <c r="S23" s="123"/>
      <c r="T23" s="123"/>
      <c r="U23" s="123"/>
      <c r="V23" s="123"/>
      <c r="W23" s="123"/>
      <c r="X23" s="123"/>
    </row>
    <row r="24" spans="2:24" x14ac:dyDescent="0.2">
      <c r="B24" s="136" t="str">
        <f>IF(Contents!$B$8="English",B110,B68)</f>
        <v>г. Санкт-Петербург</v>
      </c>
      <c r="C24" s="134">
        <v>19104</v>
      </c>
      <c r="D24" s="134">
        <v>19083</v>
      </c>
      <c r="E24" s="134">
        <v>18151.810787999999</v>
      </c>
      <c r="F24" s="134">
        <v>17748.848038995824</v>
      </c>
      <c r="G24" s="134">
        <v>18245</v>
      </c>
      <c r="H24" s="134">
        <v>18657.121104399997</v>
      </c>
      <c r="I24" s="134">
        <v>19164.169948000002</v>
      </c>
      <c r="J24" s="134">
        <v>19036.048394000001</v>
      </c>
      <c r="K24" s="134">
        <v>17966</v>
      </c>
      <c r="L24" s="134">
        <v>19475.415832999999</v>
      </c>
      <c r="M24" s="431">
        <v>19201.203959999999</v>
      </c>
      <c r="N24" s="123"/>
      <c r="O24" s="123"/>
      <c r="P24" s="123"/>
      <c r="Q24" s="123"/>
      <c r="R24" s="123"/>
      <c r="S24" s="123"/>
      <c r="T24" s="123"/>
      <c r="U24" s="123"/>
      <c r="V24" s="123"/>
      <c r="W24" s="123"/>
      <c r="X24" s="123"/>
    </row>
    <row r="25" spans="2:24" x14ac:dyDescent="0.2">
      <c r="B25" s="136" t="str">
        <f>IF(Contents!$B$8="English",B111,B69)</f>
        <v>Ленинградская область</v>
      </c>
      <c r="C25" s="134">
        <v>10903</v>
      </c>
      <c r="D25" s="134">
        <v>10530</v>
      </c>
      <c r="E25" s="134">
        <v>10527.864138999999</v>
      </c>
      <c r="F25" s="134">
        <v>10500.429958999999</v>
      </c>
      <c r="G25" s="134">
        <v>10763</v>
      </c>
      <c r="H25" s="134">
        <v>11011.578754000006</v>
      </c>
      <c r="I25" s="134">
        <v>11396.11551535</v>
      </c>
      <c r="J25" s="134">
        <v>11589.239487999999</v>
      </c>
      <c r="K25" s="134">
        <v>11614</v>
      </c>
      <c r="L25" s="134">
        <v>12802.224564995999</v>
      </c>
      <c r="M25" s="431">
        <v>12889.931318003</v>
      </c>
      <c r="N25" s="123"/>
      <c r="O25" s="123"/>
      <c r="P25" s="123"/>
      <c r="Q25" s="123"/>
      <c r="R25" s="123"/>
      <c r="S25" s="123"/>
      <c r="T25" s="123"/>
      <c r="U25" s="123"/>
      <c r="V25" s="123"/>
      <c r="W25" s="123"/>
      <c r="X25" s="123"/>
    </row>
    <row r="26" spans="2:24" x14ac:dyDescent="0.2">
      <c r="C26" s="168"/>
      <c r="D26" s="122"/>
      <c r="E26" s="122"/>
      <c r="F26" s="122"/>
      <c r="G26" s="122"/>
      <c r="H26" s="122"/>
      <c r="I26" s="122"/>
      <c r="J26" s="122"/>
      <c r="K26" s="122"/>
      <c r="N26" s="47"/>
      <c r="O26" s="47"/>
      <c r="P26" s="47"/>
      <c r="Q26" s="47"/>
    </row>
    <row r="27" spans="2:24" x14ac:dyDescent="0.2">
      <c r="B27" s="169" t="str">
        <f>IF(Contents!$B$8="English",B113,B71)</f>
        <v>Общие потери, млн кВтч</v>
      </c>
      <c r="C27" s="122"/>
    </row>
    <row r="28" spans="2:24" s="166" customFormat="1" x14ac:dyDescent="0.2">
      <c r="B28" s="180"/>
      <c r="C28" s="181">
        <v>2012</v>
      </c>
      <c r="D28" s="181">
        <v>2013</v>
      </c>
      <c r="E28" s="181">
        <v>2014</v>
      </c>
      <c r="F28" s="118">
        <v>2015</v>
      </c>
      <c r="G28" s="118">
        <v>2016</v>
      </c>
      <c r="H28" s="118">
        <v>2017</v>
      </c>
      <c r="I28" s="118">
        <v>2018</v>
      </c>
      <c r="J28" s="118">
        <v>2019</v>
      </c>
      <c r="K28" s="118">
        <v>2020</v>
      </c>
      <c r="L28" s="118">
        <v>2021</v>
      </c>
      <c r="M28" s="151">
        <v>2022</v>
      </c>
      <c r="N28" s="31"/>
      <c r="O28" s="31"/>
      <c r="P28" s="31"/>
      <c r="Q28" s="31"/>
      <c r="R28" s="31"/>
      <c r="S28" s="31"/>
      <c r="T28" s="31"/>
      <c r="U28" s="31"/>
      <c r="V28" s="31"/>
      <c r="W28" s="31"/>
      <c r="X28" s="31"/>
    </row>
    <row r="29" spans="2:24" s="166" customFormat="1" x14ac:dyDescent="0.2">
      <c r="B29" s="170" t="str">
        <f>IF(Contents!$B$8="English",B115,B73)</f>
        <v>ПАО "Россети Ленэнерго"</v>
      </c>
      <c r="C29" s="171">
        <v>4507</v>
      </c>
      <c r="D29" s="171">
        <v>4332</v>
      </c>
      <c r="E29" s="171">
        <v>4567.9138772445403</v>
      </c>
      <c r="F29" s="134">
        <v>5151.8971420041753</v>
      </c>
      <c r="G29" s="134">
        <v>3940</v>
      </c>
      <c r="H29" s="134">
        <v>5122.4976865999988</v>
      </c>
      <c r="I29" s="134">
        <v>4998.2013809999971</v>
      </c>
      <c r="J29" s="134">
        <v>4839.3371756160022</v>
      </c>
      <c r="K29" s="134">
        <v>4629.7549599499998</v>
      </c>
      <c r="L29" s="134">
        <v>4927.8284140039996</v>
      </c>
      <c r="M29" s="431">
        <v>4973.8711339969996</v>
      </c>
      <c r="N29" s="123"/>
      <c r="O29" s="123"/>
      <c r="P29" s="123"/>
      <c r="Q29" s="123"/>
      <c r="R29" s="123"/>
      <c r="S29" s="123"/>
      <c r="T29" s="123"/>
      <c r="U29" s="123"/>
      <c r="V29" s="123"/>
      <c r="W29" s="123"/>
      <c r="X29" s="123"/>
    </row>
    <row r="30" spans="2:24" s="166" customFormat="1" x14ac:dyDescent="0.2">
      <c r="B30" s="170" t="str">
        <f>IF(Contents!$B$8="English",B116,B74)</f>
        <v>г. Санкт-Петербург</v>
      </c>
      <c r="C30" s="171">
        <v>2707</v>
      </c>
      <c r="D30" s="171">
        <v>2647</v>
      </c>
      <c r="E30" s="171">
        <v>2830.6279909260002</v>
      </c>
      <c r="F30" s="134">
        <v>3211.7966618501678</v>
      </c>
      <c r="G30" s="134">
        <v>2610</v>
      </c>
      <c r="H30" s="134">
        <v>3169.0636265999988</v>
      </c>
      <c r="I30" s="134">
        <v>3039.6872529999964</v>
      </c>
      <c r="J30" s="134">
        <v>2905.4684669390026</v>
      </c>
      <c r="K30" s="134">
        <v>2750.2084169999998</v>
      </c>
      <c r="L30" s="134">
        <v>2827.4137350000005</v>
      </c>
      <c r="M30" s="431">
        <v>2766.2488170000001</v>
      </c>
      <c r="N30" s="123"/>
      <c r="O30" s="123"/>
      <c r="P30" s="123"/>
      <c r="Q30" s="123"/>
      <c r="R30" s="123"/>
      <c r="S30" s="123"/>
      <c r="T30" s="123"/>
      <c r="U30" s="123"/>
      <c r="V30" s="123"/>
      <c r="W30" s="123"/>
      <c r="X30" s="123"/>
    </row>
    <row r="31" spans="2:24" s="166" customFormat="1" x14ac:dyDescent="0.2">
      <c r="B31" s="170" t="str">
        <f>IF(Contents!$B$8="English",B117,B75)</f>
        <v>Ленинградская область</v>
      </c>
      <c r="C31" s="171">
        <v>1800</v>
      </c>
      <c r="D31" s="171">
        <v>1685</v>
      </c>
      <c r="E31" s="171">
        <v>1737.28588631854</v>
      </c>
      <c r="F31" s="134">
        <v>1940.1004801540068</v>
      </c>
      <c r="G31" s="134">
        <v>1330</v>
      </c>
      <c r="H31" s="134">
        <v>1953.43406</v>
      </c>
      <c r="I31" s="134">
        <v>1958.5141280000007</v>
      </c>
      <c r="J31" s="134">
        <v>1933.8687086769994</v>
      </c>
      <c r="K31" s="134">
        <v>1879.54654295</v>
      </c>
      <c r="L31" s="134">
        <v>2100.4146790039995</v>
      </c>
      <c r="M31" s="431">
        <v>2207.6223169969999</v>
      </c>
      <c r="N31" s="302"/>
      <c r="O31" s="302"/>
      <c r="P31" s="302"/>
      <c r="Q31" s="302"/>
      <c r="R31" s="302"/>
      <c r="S31" s="302"/>
      <c r="T31" s="302"/>
      <c r="U31" s="302"/>
      <c r="V31" s="302"/>
      <c r="W31" s="302"/>
      <c r="X31" s="302"/>
    </row>
    <row r="32" spans="2:24" s="166" customFormat="1" x14ac:dyDescent="0.2">
      <c r="B32" s="170"/>
      <c r="C32" s="303"/>
      <c r="D32" s="304"/>
      <c r="E32" s="304"/>
      <c r="F32" s="304"/>
      <c r="G32" s="122"/>
      <c r="H32" s="122"/>
      <c r="I32" s="122"/>
      <c r="J32" s="122"/>
      <c r="K32" s="122"/>
      <c r="N32" s="172"/>
      <c r="O32" s="172"/>
      <c r="P32" s="172"/>
      <c r="Q32" s="172"/>
    </row>
    <row r="33" spans="2:24" s="166" customFormat="1" x14ac:dyDescent="0.2">
      <c r="B33" s="169" t="str">
        <f>IF(Contents!$B$8="English",B119,B77)</f>
        <v>Общие потери, %</v>
      </c>
    </row>
    <row r="34" spans="2:24" s="166" customFormat="1" x14ac:dyDescent="0.2">
      <c r="B34" s="180"/>
      <c r="C34" s="181">
        <v>2012</v>
      </c>
      <c r="D34" s="181">
        <v>2013</v>
      </c>
      <c r="E34" s="181">
        <v>2014</v>
      </c>
      <c r="F34" s="118">
        <v>2015</v>
      </c>
      <c r="G34" s="118">
        <v>2016</v>
      </c>
      <c r="H34" s="118">
        <v>2017</v>
      </c>
      <c r="I34" s="118">
        <v>2018</v>
      </c>
      <c r="J34" s="118">
        <v>2019</v>
      </c>
      <c r="K34" s="118">
        <v>2020</v>
      </c>
      <c r="L34" s="118">
        <v>2021</v>
      </c>
      <c r="M34" s="151">
        <v>2022</v>
      </c>
    </row>
    <row r="35" spans="2:24" s="166" customFormat="1" x14ac:dyDescent="0.2">
      <c r="B35" s="170" t="str">
        <f>IF(Contents!$B$8="English",B121,B79)</f>
        <v>ПАО "Россети Ленэнерго"</v>
      </c>
      <c r="C35" s="174">
        <v>13.058469027061481</v>
      </c>
      <c r="D35" s="174">
        <v>12.761820592134335</v>
      </c>
      <c r="E35" s="174">
        <v>13.739083168224774</v>
      </c>
      <c r="F35" s="173">
        <v>15.424299056575574</v>
      </c>
      <c r="G35" s="173">
        <v>0.1153</v>
      </c>
      <c r="H35" s="173">
        <v>14.723545172523608</v>
      </c>
      <c r="I35" s="173">
        <v>14.056282549025781</v>
      </c>
      <c r="J35" s="173">
        <v>13.645533169185175</v>
      </c>
      <c r="K35" s="173">
        <v>13.533296886957203</v>
      </c>
      <c r="L35" s="173">
        <v>13.244903427784816</v>
      </c>
      <c r="M35" s="432">
        <v>13.419318153380061</v>
      </c>
      <c r="N35" s="305"/>
      <c r="O35" s="305"/>
      <c r="P35" s="305"/>
      <c r="Q35" s="305"/>
      <c r="R35" s="306"/>
      <c r="S35" s="306"/>
      <c r="T35" s="306"/>
      <c r="U35" s="305"/>
      <c r="V35" s="305"/>
      <c r="W35" s="305"/>
      <c r="X35" s="305"/>
    </row>
    <row r="36" spans="2:24" s="166" customFormat="1" x14ac:dyDescent="0.2">
      <c r="B36" s="170" t="str">
        <f>IF(Contents!$B$8="English",B122,B80)</f>
        <v>г. Санкт-Петербург</v>
      </c>
      <c r="C36" s="174">
        <v>12.411168676355967</v>
      </c>
      <c r="D36" s="174">
        <v>12.182151418642205</v>
      </c>
      <c r="E36" s="174">
        <v>13.490462289679026</v>
      </c>
      <c r="F36" s="173">
        <v>15.322986042125585</v>
      </c>
      <c r="G36" s="173">
        <v>0.1215</v>
      </c>
      <c r="H36" s="173">
        <v>14.51954918212957</v>
      </c>
      <c r="I36" s="173">
        <v>13.689906332414612</v>
      </c>
      <c r="J36" s="173">
        <v>13.241876053068566</v>
      </c>
      <c r="K36" s="173">
        <v>13.275769535624637</v>
      </c>
      <c r="L36" s="173">
        <v>12.677376771316769</v>
      </c>
      <c r="M36" s="432">
        <v>12.592487827702412</v>
      </c>
      <c r="N36" s="305"/>
      <c r="O36" s="305"/>
      <c r="P36" s="305"/>
      <c r="Q36" s="305"/>
      <c r="R36" s="306"/>
      <c r="S36" s="306"/>
      <c r="T36" s="306"/>
      <c r="U36" s="305"/>
      <c r="V36" s="305"/>
      <c r="W36" s="305"/>
      <c r="X36" s="305"/>
    </row>
    <row r="37" spans="2:24" s="166" customFormat="1" x14ac:dyDescent="0.2">
      <c r="B37" s="170" t="str">
        <f>IF(Contents!$B$8="English",B123,B81)</f>
        <v>Ленинградская область</v>
      </c>
      <c r="C37" s="174">
        <v>14.169881130441627</v>
      </c>
      <c r="D37" s="174">
        <v>13.790616994234538</v>
      </c>
      <c r="E37" s="174">
        <v>14.16440795858448</v>
      </c>
      <c r="F37" s="173">
        <v>15.594998056095262</v>
      </c>
      <c r="G37" s="173">
        <v>0.10489999999999999</v>
      </c>
      <c r="H37" s="173">
        <v>15.066965902961735</v>
      </c>
      <c r="I37" s="173">
        <v>14.665431991034298</v>
      </c>
      <c r="J37" s="173">
        <v>14.300475013223689</v>
      </c>
      <c r="K37" s="173">
        <v>13.928757543723137</v>
      </c>
      <c r="L37" s="173">
        <v>14.09424629164028</v>
      </c>
      <c r="M37" s="432">
        <v>14.622384330393537</v>
      </c>
      <c r="N37" s="305"/>
      <c r="O37" s="305"/>
      <c r="P37" s="305"/>
      <c r="Q37" s="305"/>
      <c r="R37" s="306"/>
      <c r="S37" s="306"/>
      <c r="T37" s="306"/>
      <c r="U37" s="305"/>
      <c r="V37" s="305"/>
      <c r="W37" s="305"/>
      <c r="X37" s="305"/>
    </row>
    <row r="38" spans="2:24" s="166" customFormat="1" x14ac:dyDescent="0.2">
      <c r="B38" s="170"/>
      <c r="C38" s="303"/>
      <c r="D38" s="304"/>
      <c r="E38" s="304"/>
      <c r="F38" s="304"/>
      <c r="G38" s="304"/>
      <c r="H38" s="304"/>
      <c r="I38" s="304"/>
      <c r="J38" s="304"/>
      <c r="K38" s="304"/>
      <c r="N38" s="172"/>
      <c r="O38" s="172"/>
      <c r="P38" s="172"/>
      <c r="Q38" s="172"/>
    </row>
    <row r="39" spans="2:24" ht="24" customHeight="1" x14ac:dyDescent="0.2">
      <c r="B39" s="175" t="str">
        <f>IF(Contents!$B$8="English",B125,B83)</f>
        <v>Потери в сетях ПАО "Россети Ленэнерго", млн кВтч</v>
      </c>
    </row>
    <row r="40" spans="2:24" ht="12.75" customHeight="1" x14ac:dyDescent="0.2">
      <c r="B40" s="179"/>
      <c r="C40" s="118">
        <v>2012</v>
      </c>
      <c r="D40" s="118">
        <v>2013</v>
      </c>
      <c r="E40" s="118">
        <v>2014</v>
      </c>
      <c r="F40" s="118">
        <v>2015</v>
      </c>
      <c r="G40" s="118">
        <v>2016</v>
      </c>
      <c r="H40" s="118">
        <v>2017</v>
      </c>
      <c r="I40" s="118">
        <v>2018</v>
      </c>
      <c r="J40" s="118">
        <v>2019</v>
      </c>
      <c r="K40" s="118">
        <v>2020</v>
      </c>
      <c r="L40" s="118">
        <v>2021</v>
      </c>
      <c r="M40" s="151">
        <v>2022</v>
      </c>
      <c r="N40" s="166"/>
      <c r="O40" s="166"/>
      <c r="P40" s="166"/>
      <c r="Q40" s="166"/>
      <c r="R40" s="166"/>
      <c r="S40" s="166"/>
      <c r="T40" s="166"/>
      <c r="U40" s="166"/>
      <c r="V40" s="166"/>
      <c r="W40" s="166"/>
      <c r="X40" s="166"/>
    </row>
    <row r="41" spans="2:24" x14ac:dyDescent="0.2">
      <c r="B41" s="136" t="str">
        <f>IF(Contents!$B$8="English",B127,B85)</f>
        <v>ПАО "Россети Ленэнерго"</v>
      </c>
      <c r="C41" s="134">
        <v>3579</v>
      </c>
      <c r="D41" s="134">
        <v>3431</v>
      </c>
      <c r="E41" s="134">
        <v>3677.46167149347</v>
      </c>
      <c r="F41" s="134">
        <v>4084.8495021638769</v>
      </c>
      <c r="G41" s="134">
        <v>3939.7</v>
      </c>
      <c r="H41" s="134">
        <v>4193.201765599998</v>
      </c>
      <c r="I41" s="134">
        <v>4162.1741466709027</v>
      </c>
      <c r="J41" s="134">
        <v>3967.1548736160021</v>
      </c>
      <c r="K41" s="134">
        <v>3847</v>
      </c>
      <c r="L41" s="134">
        <v>4110.70687</v>
      </c>
      <c r="M41" s="431">
        <v>4149.5882199999996</v>
      </c>
      <c r="N41" s="302"/>
      <c r="O41" s="302"/>
      <c r="P41" s="302"/>
      <c r="Q41" s="302"/>
      <c r="R41" s="302"/>
      <c r="S41" s="302"/>
      <c r="T41" s="302"/>
      <c r="U41" s="302"/>
      <c r="V41" s="302"/>
      <c r="W41" s="302"/>
      <c r="X41" s="302"/>
    </row>
    <row r="42" spans="2:24" x14ac:dyDescent="0.2">
      <c r="B42" s="136" t="str">
        <f>IF(Contents!$B$8="English",B128,B86)</f>
        <v>г. Санкт-Петербург</v>
      </c>
      <c r="C42" s="134">
        <v>2334</v>
      </c>
      <c r="D42" s="134">
        <v>2270</v>
      </c>
      <c r="E42" s="134">
        <v>2336.1145129259999</v>
      </c>
      <c r="F42" s="134">
        <v>2708.8552810098704</v>
      </c>
      <c r="G42" s="134">
        <v>2609.5700000000002</v>
      </c>
      <c r="H42" s="134">
        <v>2827.5385505999989</v>
      </c>
      <c r="I42" s="134">
        <v>2788.0512720000006</v>
      </c>
      <c r="J42" s="134">
        <v>2652.3660119390029</v>
      </c>
      <c r="K42" s="134">
        <v>2577</v>
      </c>
      <c r="L42" s="134">
        <v>2705.4373170000003</v>
      </c>
      <c r="M42" s="431">
        <v>2633.8758400000002</v>
      </c>
      <c r="N42" s="302"/>
      <c r="O42" s="302"/>
      <c r="P42" s="302"/>
      <c r="Q42" s="302"/>
      <c r="R42" s="302"/>
      <c r="S42" s="302"/>
      <c r="T42" s="302"/>
      <c r="U42" s="302"/>
      <c r="V42" s="302"/>
      <c r="W42" s="302"/>
      <c r="X42" s="302"/>
    </row>
    <row r="43" spans="2:24" x14ac:dyDescent="0.2">
      <c r="B43" s="136" t="str">
        <f>IF(Contents!$B$8="English",B129,B87)</f>
        <v>Ленинградская область</v>
      </c>
      <c r="C43" s="134">
        <v>1245</v>
      </c>
      <c r="D43" s="134">
        <v>1161</v>
      </c>
      <c r="E43" s="134">
        <v>1341.3471585674699</v>
      </c>
      <c r="F43" s="134">
        <v>1375.9942211540063</v>
      </c>
      <c r="G43" s="134">
        <v>1330.13</v>
      </c>
      <c r="H43" s="134">
        <v>1365.6632149999991</v>
      </c>
      <c r="I43" s="134">
        <v>1374.1228746709003</v>
      </c>
      <c r="J43" s="134">
        <v>1314.7888616769994</v>
      </c>
      <c r="K43" s="134">
        <v>1271</v>
      </c>
      <c r="L43" s="134">
        <v>1405.2695529999999</v>
      </c>
      <c r="M43" s="431">
        <v>1515.7123799999999</v>
      </c>
      <c r="N43" s="302"/>
      <c r="O43" s="302"/>
      <c r="P43" s="302"/>
      <c r="Q43" s="302"/>
      <c r="R43" s="302"/>
      <c r="S43" s="302"/>
      <c r="T43" s="302"/>
      <c r="U43" s="302"/>
      <c r="V43" s="302"/>
      <c r="W43" s="302"/>
      <c r="X43" s="302"/>
    </row>
    <row r="44" spans="2:24" x14ac:dyDescent="0.2">
      <c r="C44" s="122"/>
      <c r="D44" s="122"/>
      <c r="E44" s="122"/>
      <c r="F44" s="122"/>
      <c r="G44" s="122"/>
      <c r="H44" s="122"/>
      <c r="I44" s="122"/>
      <c r="J44" s="122"/>
      <c r="K44" s="122"/>
    </row>
    <row r="45" spans="2:24" x14ac:dyDescent="0.2">
      <c r="B45" s="175" t="str">
        <f>IF(Contents!$B$8="English",B131,B89)</f>
        <v>Потери в сетях ПАО "Россети Ленэнерго",%</v>
      </c>
    </row>
    <row r="46" spans="2:24" x14ac:dyDescent="0.2">
      <c r="B46" s="179"/>
      <c r="C46" s="118">
        <v>2012</v>
      </c>
      <c r="D46" s="118">
        <v>2013</v>
      </c>
      <c r="E46" s="118">
        <v>2014</v>
      </c>
      <c r="F46" s="118">
        <v>2015</v>
      </c>
      <c r="G46" s="118">
        <v>2016</v>
      </c>
      <c r="H46" s="118">
        <v>2017</v>
      </c>
      <c r="I46" s="118">
        <v>2018</v>
      </c>
      <c r="J46" s="118">
        <v>2019</v>
      </c>
      <c r="K46" s="118">
        <v>2020</v>
      </c>
      <c r="L46" s="118">
        <v>2021</v>
      </c>
      <c r="M46" s="151">
        <v>2022</v>
      </c>
    </row>
    <row r="47" spans="2:24" x14ac:dyDescent="0.2">
      <c r="B47" s="136" t="str">
        <f>IF(Contents!$B$8="English",B133,B91)</f>
        <v>ПАО "Россети Ленэнерго"</v>
      </c>
      <c r="C47" s="176">
        <v>10.369705047227212</v>
      </c>
      <c r="D47" s="176">
        <v>10.10752688172043</v>
      </c>
      <c r="E47" s="176" t="s">
        <v>90</v>
      </c>
      <c r="F47" s="173">
        <v>12.229658043593799</v>
      </c>
      <c r="G47" s="173">
        <v>11.53</v>
      </c>
      <c r="H47" s="173">
        <v>12.052478964474801</v>
      </c>
      <c r="I47" s="173">
        <v>11.705149785731795</v>
      </c>
      <c r="J47" s="173">
        <v>11.186230975594512</v>
      </c>
      <c r="K47" s="173">
        <v>11.25</v>
      </c>
      <c r="L47" s="173">
        <v>11.048663009116984</v>
      </c>
      <c r="M47" s="432">
        <v>11.1954337033557</v>
      </c>
      <c r="N47" s="307"/>
      <c r="O47" s="307"/>
      <c r="P47" s="307"/>
      <c r="Q47" s="307"/>
      <c r="R47" s="307"/>
      <c r="S47" s="307"/>
      <c r="T47" s="307"/>
      <c r="U47" s="307"/>
      <c r="V47" s="307"/>
      <c r="W47" s="307"/>
      <c r="X47" s="307"/>
    </row>
    <row r="48" spans="2:24" x14ac:dyDescent="0.2">
      <c r="B48" s="136" t="str">
        <f>IF(Contents!$B$8="English",B134,B92)</f>
        <v>г. Санкт-Петербург</v>
      </c>
      <c r="C48" s="122">
        <v>10.7</v>
      </c>
      <c r="D48" s="122">
        <v>10.45</v>
      </c>
      <c r="E48" s="122" t="s">
        <v>91</v>
      </c>
      <c r="F48" s="173">
        <v>12.9235303573489</v>
      </c>
      <c r="G48" s="173">
        <v>12.15</v>
      </c>
      <c r="H48" s="173">
        <v>12.954799867445507</v>
      </c>
      <c r="I48" s="173">
        <v>12.556607830617983</v>
      </c>
      <c r="J48" s="173">
        <v>12.088343885717832</v>
      </c>
      <c r="K48" s="173">
        <v>12.44</v>
      </c>
      <c r="L48" s="173">
        <v>12.130466713881676</v>
      </c>
      <c r="M48" s="432">
        <v>11.989900999162167</v>
      </c>
      <c r="N48" s="307"/>
      <c r="O48" s="307"/>
      <c r="P48" s="307"/>
      <c r="Q48" s="307"/>
      <c r="U48" s="307"/>
      <c r="V48" s="307"/>
      <c r="W48" s="307"/>
      <c r="X48" s="307"/>
    </row>
    <row r="49" spans="2:24" x14ac:dyDescent="0.2">
      <c r="B49" s="136" t="str">
        <f>IF(Contents!$B$8="English",B135,B93)</f>
        <v>Ленинградская область</v>
      </c>
      <c r="C49" s="122">
        <v>9.8000000000000007</v>
      </c>
      <c r="D49" s="122">
        <v>9.51</v>
      </c>
      <c r="E49" s="122" t="s">
        <v>92</v>
      </c>
      <c r="F49" s="173">
        <v>11.0605751730919</v>
      </c>
      <c r="G49" s="173">
        <v>10.49</v>
      </c>
      <c r="H49" s="173">
        <v>10.533450561077084</v>
      </c>
      <c r="I49" s="173">
        <v>10.289486952228218</v>
      </c>
      <c r="J49" s="173">
        <v>9.7225345131829908</v>
      </c>
      <c r="K49" s="173">
        <v>9.42</v>
      </c>
      <c r="L49" s="173">
        <v>9.4296690001791461</v>
      </c>
      <c r="M49" s="432">
        <v>10.039456832835421</v>
      </c>
      <c r="N49" s="307"/>
      <c r="O49" s="307"/>
      <c r="P49" s="307"/>
      <c r="Q49" s="307"/>
      <c r="U49" s="307"/>
      <c r="V49" s="307"/>
      <c r="W49" s="307"/>
      <c r="X49" s="307"/>
    </row>
    <row r="51" spans="2:24" x14ac:dyDescent="0.2">
      <c r="J51" s="177"/>
    </row>
    <row r="52" spans="2:24" x14ac:dyDescent="0.2">
      <c r="B52" s="335"/>
      <c r="J52" s="177"/>
    </row>
    <row r="53" spans="2:24" s="51" customFormat="1" x14ac:dyDescent="0.2">
      <c r="B53" s="336" t="s">
        <v>283</v>
      </c>
      <c r="C53" s="261" t="s">
        <v>347</v>
      </c>
      <c r="D53" s="261" t="s">
        <v>348</v>
      </c>
      <c r="J53" s="272"/>
    </row>
    <row r="54" spans="2:24" s="51" customFormat="1" x14ac:dyDescent="0.2">
      <c r="B54" s="337"/>
    </row>
    <row r="55" spans="2:24" s="51" customFormat="1" x14ac:dyDescent="0.2">
      <c r="B55" s="338" t="s">
        <v>392</v>
      </c>
    </row>
    <row r="56" spans="2:24" s="51" customFormat="1" x14ac:dyDescent="0.2">
      <c r="B56" s="338" t="s">
        <v>18</v>
      </c>
    </row>
    <row r="57" spans="2:24" s="51" customFormat="1" x14ac:dyDescent="0.2">
      <c r="B57" s="338" t="s">
        <v>19</v>
      </c>
    </row>
    <row r="58" spans="2:24" s="51" customFormat="1" x14ac:dyDescent="0.2">
      <c r="B58" s="338"/>
    </row>
    <row r="59" spans="2:24" s="51" customFormat="1" x14ac:dyDescent="0.2">
      <c r="B59" s="336" t="s">
        <v>284</v>
      </c>
    </row>
    <row r="60" spans="2:24" s="51" customFormat="1" x14ac:dyDescent="0.2">
      <c r="B60" s="337"/>
    </row>
    <row r="61" spans="2:24" s="51" customFormat="1" x14ac:dyDescent="0.2">
      <c r="B61" s="338" t="s">
        <v>392</v>
      </c>
    </row>
    <row r="62" spans="2:24" s="51" customFormat="1" x14ac:dyDescent="0.2">
      <c r="B62" s="338" t="s">
        <v>18</v>
      </c>
    </row>
    <row r="63" spans="2:24" s="51" customFormat="1" x14ac:dyDescent="0.2">
      <c r="B63" s="338" t="s">
        <v>19</v>
      </c>
    </row>
    <row r="64" spans="2:24" s="51" customFormat="1" x14ac:dyDescent="0.2">
      <c r="B64" s="338"/>
    </row>
    <row r="65" spans="2:2" s="51" customFormat="1" x14ac:dyDescent="0.2">
      <c r="B65" s="336" t="s">
        <v>285</v>
      </c>
    </row>
    <row r="66" spans="2:2" s="51" customFormat="1" x14ac:dyDescent="0.2">
      <c r="B66" s="337"/>
    </row>
    <row r="67" spans="2:2" s="51" customFormat="1" x14ac:dyDescent="0.2">
      <c r="B67" s="338" t="s">
        <v>392</v>
      </c>
    </row>
    <row r="68" spans="2:2" s="51" customFormat="1" x14ac:dyDescent="0.2">
      <c r="B68" s="338" t="s">
        <v>18</v>
      </c>
    </row>
    <row r="69" spans="2:2" s="51" customFormat="1" x14ac:dyDescent="0.2">
      <c r="B69" s="338" t="s">
        <v>19</v>
      </c>
    </row>
    <row r="70" spans="2:2" s="51" customFormat="1" x14ac:dyDescent="0.2">
      <c r="B70" s="338"/>
    </row>
    <row r="71" spans="2:2" s="51" customFormat="1" x14ac:dyDescent="0.2">
      <c r="B71" s="336" t="s">
        <v>286</v>
      </c>
    </row>
    <row r="72" spans="2:2" s="51" customFormat="1" x14ac:dyDescent="0.2">
      <c r="B72" s="337"/>
    </row>
    <row r="73" spans="2:2" s="51" customFormat="1" x14ac:dyDescent="0.2">
      <c r="B73" s="338" t="s">
        <v>392</v>
      </c>
    </row>
    <row r="74" spans="2:2" s="51" customFormat="1" x14ac:dyDescent="0.2">
      <c r="B74" s="338" t="s">
        <v>18</v>
      </c>
    </row>
    <row r="75" spans="2:2" s="51" customFormat="1" x14ac:dyDescent="0.2">
      <c r="B75" s="338" t="s">
        <v>19</v>
      </c>
    </row>
    <row r="76" spans="2:2" s="51" customFormat="1" x14ac:dyDescent="0.2">
      <c r="B76" s="338"/>
    </row>
    <row r="77" spans="2:2" s="51" customFormat="1" x14ac:dyDescent="0.2">
      <c r="B77" s="336" t="s">
        <v>24</v>
      </c>
    </row>
    <row r="78" spans="2:2" s="51" customFormat="1" x14ac:dyDescent="0.2">
      <c r="B78" s="337"/>
    </row>
    <row r="79" spans="2:2" s="51" customFormat="1" x14ac:dyDescent="0.2">
      <c r="B79" s="338" t="s">
        <v>392</v>
      </c>
    </row>
    <row r="80" spans="2:2" s="51" customFormat="1" x14ac:dyDescent="0.2">
      <c r="B80" s="338" t="s">
        <v>18</v>
      </c>
    </row>
    <row r="81" spans="2:2" s="51" customFormat="1" x14ac:dyDescent="0.2">
      <c r="B81" s="338" t="s">
        <v>19</v>
      </c>
    </row>
    <row r="82" spans="2:2" s="51" customFormat="1" x14ac:dyDescent="0.2">
      <c r="B82" s="338"/>
    </row>
    <row r="83" spans="2:2" s="51" customFormat="1" x14ac:dyDescent="0.2">
      <c r="B83" s="339" t="s">
        <v>350</v>
      </c>
    </row>
    <row r="84" spans="2:2" s="51" customFormat="1" x14ac:dyDescent="0.2">
      <c r="B84" s="337"/>
    </row>
    <row r="85" spans="2:2" s="51" customFormat="1" x14ac:dyDescent="0.2">
      <c r="B85" s="338" t="s">
        <v>392</v>
      </c>
    </row>
    <row r="86" spans="2:2" s="51" customFormat="1" x14ac:dyDescent="0.2">
      <c r="B86" s="338" t="s">
        <v>18</v>
      </c>
    </row>
    <row r="87" spans="2:2" s="51" customFormat="1" x14ac:dyDescent="0.2">
      <c r="B87" s="338" t="s">
        <v>19</v>
      </c>
    </row>
    <row r="88" spans="2:2" s="51" customFormat="1" x14ac:dyDescent="0.2">
      <c r="B88" s="338"/>
    </row>
    <row r="89" spans="2:2" s="51" customFormat="1" x14ac:dyDescent="0.2">
      <c r="B89" s="339" t="s">
        <v>351</v>
      </c>
    </row>
    <row r="90" spans="2:2" s="51" customFormat="1" x14ac:dyDescent="0.2">
      <c r="B90" s="337"/>
    </row>
    <row r="91" spans="2:2" s="51" customFormat="1" x14ac:dyDescent="0.2">
      <c r="B91" s="338" t="s">
        <v>392</v>
      </c>
    </row>
    <row r="92" spans="2:2" s="51" customFormat="1" x14ac:dyDescent="0.2">
      <c r="B92" s="338" t="s">
        <v>18</v>
      </c>
    </row>
    <row r="93" spans="2:2" s="51" customFormat="1" x14ac:dyDescent="0.2">
      <c r="B93" s="338" t="s">
        <v>19</v>
      </c>
    </row>
    <row r="94" spans="2:2" s="51" customFormat="1" x14ac:dyDescent="0.2">
      <c r="B94" s="338" t="s">
        <v>34</v>
      </c>
    </row>
    <row r="95" spans="2:2" s="51" customFormat="1" x14ac:dyDescent="0.2">
      <c r="B95" s="338" t="s">
        <v>214</v>
      </c>
    </row>
    <row r="96" spans="2:2" s="51" customFormat="1" x14ac:dyDescent="0.2">
      <c r="B96" s="338"/>
    </row>
    <row r="97" spans="2:2" s="51" customFormat="1" x14ac:dyDescent="0.2">
      <c r="B97" s="338" t="s">
        <v>393</v>
      </c>
    </row>
    <row r="98" spans="2:2" s="51" customFormat="1" x14ac:dyDescent="0.2">
      <c r="B98" s="338" t="s">
        <v>183</v>
      </c>
    </row>
    <row r="99" spans="2:2" s="51" customFormat="1" x14ac:dyDescent="0.2">
      <c r="B99" s="338" t="s">
        <v>184</v>
      </c>
    </row>
    <row r="100" spans="2:2" s="51" customFormat="1" x14ac:dyDescent="0.2">
      <c r="B100" s="338"/>
    </row>
    <row r="101" spans="2:2" s="51" customFormat="1" x14ac:dyDescent="0.2">
      <c r="B101" s="338" t="s">
        <v>217</v>
      </c>
    </row>
    <row r="102" spans="2:2" s="51" customFormat="1" x14ac:dyDescent="0.2">
      <c r="B102" s="338"/>
    </row>
    <row r="103" spans="2:2" s="51" customFormat="1" x14ac:dyDescent="0.2">
      <c r="B103" s="338" t="s">
        <v>394</v>
      </c>
    </row>
    <row r="104" spans="2:2" s="51" customFormat="1" x14ac:dyDescent="0.2">
      <c r="B104" s="338" t="s">
        <v>183</v>
      </c>
    </row>
    <row r="105" spans="2:2" s="51" customFormat="1" x14ac:dyDescent="0.2">
      <c r="B105" s="338" t="s">
        <v>184</v>
      </c>
    </row>
    <row r="106" spans="2:2" s="51" customFormat="1" x14ac:dyDescent="0.2">
      <c r="B106" s="338"/>
    </row>
    <row r="107" spans="2:2" s="51" customFormat="1" x14ac:dyDescent="0.2">
      <c r="B107" s="338" t="s">
        <v>216</v>
      </c>
    </row>
    <row r="108" spans="2:2" s="51" customFormat="1" x14ac:dyDescent="0.2">
      <c r="B108" s="338"/>
    </row>
    <row r="109" spans="2:2" s="51" customFormat="1" x14ac:dyDescent="0.2">
      <c r="B109" s="338" t="s">
        <v>394</v>
      </c>
    </row>
    <row r="110" spans="2:2" s="51" customFormat="1" x14ac:dyDescent="0.2">
      <c r="B110" s="338" t="s">
        <v>183</v>
      </c>
    </row>
    <row r="111" spans="2:2" s="51" customFormat="1" x14ac:dyDescent="0.2">
      <c r="B111" s="338" t="s">
        <v>184</v>
      </c>
    </row>
    <row r="112" spans="2:2" s="51" customFormat="1" x14ac:dyDescent="0.2">
      <c r="B112" s="338"/>
    </row>
    <row r="113" spans="2:2" s="51" customFormat="1" x14ac:dyDescent="0.2">
      <c r="B113" s="338" t="s">
        <v>215</v>
      </c>
    </row>
    <row r="114" spans="2:2" s="51" customFormat="1" x14ac:dyDescent="0.2">
      <c r="B114" s="338"/>
    </row>
    <row r="115" spans="2:2" s="51" customFormat="1" x14ac:dyDescent="0.2">
      <c r="B115" s="338" t="s">
        <v>394</v>
      </c>
    </row>
    <row r="116" spans="2:2" s="51" customFormat="1" x14ac:dyDescent="0.2">
      <c r="B116" s="338" t="s">
        <v>183</v>
      </c>
    </row>
    <row r="117" spans="2:2" s="51" customFormat="1" x14ac:dyDescent="0.2">
      <c r="B117" s="338" t="s">
        <v>184</v>
      </c>
    </row>
    <row r="118" spans="2:2" s="51" customFormat="1" x14ac:dyDescent="0.2">
      <c r="B118" s="338"/>
    </row>
    <row r="119" spans="2:2" s="51" customFormat="1" x14ac:dyDescent="0.2">
      <c r="B119" s="338" t="s">
        <v>185</v>
      </c>
    </row>
    <row r="120" spans="2:2" s="51" customFormat="1" x14ac:dyDescent="0.2">
      <c r="B120" s="338"/>
    </row>
    <row r="121" spans="2:2" s="51" customFormat="1" x14ac:dyDescent="0.2">
      <c r="B121" s="338" t="s">
        <v>394</v>
      </c>
    </row>
    <row r="122" spans="2:2" s="51" customFormat="1" x14ac:dyDescent="0.2">
      <c r="B122" s="338" t="s">
        <v>183</v>
      </c>
    </row>
    <row r="123" spans="2:2" s="51" customFormat="1" x14ac:dyDescent="0.2">
      <c r="B123" s="338" t="s">
        <v>184</v>
      </c>
    </row>
    <row r="124" spans="2:2" s="51" customFormat="1" x14ac:dyDescent="0.2">
      <c r="B124" s="338"/>
    </row>
    <row r="125" spans="2:2" s="51" customFormat="1" x14ac:dyDescent="0.2">
      <c r="B125" s="338" t="s">
        <v>354</v>
      </c>
    </row>
    <row r="126" spans="2:2" s="51" customFormat="1" x14ac:dyDescent="0.2">
      <c r="B126" s="338"/>
    </row>
    <row r="127" spans="2:2" s="51" customFormat="1" x14ac:dyDescent="0.2">
      <c r="B127" s="338" t="s">
        <v>394</v>
      </c>
    </row>
    <row r="128" spans="2:2" s="51" customFormat="1" x14ac:dyDescent="0.2">
      <c r="B128" s="338" t="s">
        <v>183</v>
      </c>
    </row>
    <row r="129" spans="2:2" s="51" customFormat="1" x14ac:dyDescent="0.2">
      <c r="B129" s="338" t="s">
        <v>184</v>
      </c>
    </row>
    <row r="130" spans="2:2" s="51" customFormat="1" x14ac:dyDescent="0.2">
      <c r="B130" s="338"/>
    </row>
    <row r="131" spans="2:2" s="51" customFormat="1" x14ac:dyDescent="0.2">
      <c r="B131" s="338" t="s">
        <v>355</v>
      </c>
    </row>
    <row r="132" spans="2:2" s="51" customFormat="1" x14ac:dyDescent="0.2">
      <c r="B132" s="338"/>
    </row>
    <row r="133" spans="2:2" s="51" customFormat="1" x14ac:dyDescent="0.2">
      <c r="B133" s="338" t="s">
        <v>394</v>
      </c>
    </row>
    <row r="134" spans="2:2" s="51" customFormat="1" x14ac:dyDescent="0.2">
      <c r="B134" s="338" t="s">
        <v>183</v>
      </c>
    </row>
    <row r="135" spans="2:2" s="51" customFormat="1" x14ac:dyDescent="0.2">
      <c r="B135" s="338" t="s">
        <v>184</v>
      </c>
    </row>
    <row r="136" spans="2:2" s="51" customFormat="1" x14ac:dyDescent="0.2">
      <c r="B136" s="338" t="s">
        <v>186</v>
      </c>
    </row>
    <row r="137" spans="2:2" s="51" customFormat="1" x14ac:dyDescent="0.2">
      <c r="B137" s="338"/>
    </row>
    <row r="138" spans="2:2" s="51" customFormat="1" x14ac:dyDescent="0.2">
      <c r="B138" s="338"/>
    </row>
    <row r="139" spans="2:2" s="284" customFormat="1" x14ac:dyDescent="0.2">
      <c r="B139" s="376"/>
    </row>
    <row r="140" spans="2:2" s="284" customFormat="1" x14ac:dyDescent="0.2">
      <c r="B140" s="376"/>
    </row>
    <row r="141" spans="2:2" s="284" customFormat="1" x14ac:dyDescent="0.2">
      <c r="B141" s="376"/>
    </row>
    <row r="142" spans="2:2" s="284" customFormat="1" x14ac:dyDescent="0.2">
      <c r="B142" s="376"/>
    </row>
    <row r="143" spans="2:2" s="284" customFormat="1" x14ac:dyDescent="0.2">
      <c r="B143" s="376"/>
    </row>
    <row r="144" spans="2:2" s="284" customFormat="1" x14ac:dyDescent="0.2">
      <c r="B144" s="136"/>
    </row>
    <row r="145" spans="2:2" s="284" customFormat="1" x14ac:dyDescent="0.2">
      <c r="B145" s="136"/>
    </row>
    <row r="146" spans="2:2" s="284" customFormat="1" x14ac:dyDescent="0.2">
      <c r="B146" s="136"/>
    </row>
    <row r="147" spans="2:2" s="284" customFormat="1" x14ac:dyDescent="0.2">
      <c r="B147" s="136"/>
    </row>
    <row r="148" spans="2:2" s="284" customFormat="1" x14ac:dyDescent="0.2">
      <c r="B148" s="136"/>
    </row>
    <row r="149" spans="2:2" s="284" customFormat="1" x14ac:dyDescent="0.2">
      <c r="B149" s="136"/>
    </row>
    <row r="150" spans="2:2" s="284" customFormat="1" x14ac:dyDescent="0.2">
      <c r="B150" s="182"/>
    </row>
    <row r="151" spans="2:2" s="284" customFormat="1" x14ac:dyDescent="0.2">
      <c r="B151" s="182"/>
    </row>
    <row r="152" spans="2:2" s="284" customFormat="1" x14ac:dyDescent="0.2">
      <c r="B152" s="182"/>
    </row>
    <row r="153" spans="2:2" s="284" customFormat="1" x14ac:dyDescent="0.2">
      <c r="B153" s="182"/>
    </row>
    <row r="154" spans="2:2" s="284" customFormat="1" x14ac:dyDescent="0.2">
      <c r="B154" s="182"/>
    </row>
    <row r="155" spans="2:2" s="284" customFormat="1" x14ac:dyDescent="0.2">
      <c r="B155" s="182"/>
    </row>
    <row r="156" spans="2:2" s="284" customFormat="1" x14ac:dyDescent="0.2">
      <c r="B156" s="341"/>
    </row>
    <row r="157" spans="2:2" s="284" customFormat="1" x14ac:dyDescent="0.2">
      <c r="B157" s="341"/>
    </row>
    <row r="158" spans="2:2" s="284" customFormat="1" x14ac:dyDescent="0.2">
      <c r="B158" s="341"/>
    </row>
    <row r="159" spans="2:2" s="284" customFormat="1" x14ac:dyDescent="0.2">
      <c r="B159" s="341"/>
    </row>
  </sheetData>
  <sheetProtection formatCells="0" formatColumns="0" formatRows="0" insertColumns="0" insertRows="0" insertHyperlinks="0" deleteColumns="0" deleteRows="0" sort="0" autoFilter="0" pivotTables="0"/>
  <mergeCells count="4">
    <mergeCell ref="L5:M5"/>
    <mergeCell ref="L6:M6"/>
    <mergeCell ref="H5:I5"/>
    <mergeCell ref="B7:M7"/>
  </mergeCells>
  <hyperlinks>
    <hyperlink ref="H5" location="Contents!A1" display="Contents!A1"/>
    <hyperlink ref="L5:M5" location="'Investment program'!A1" display="'Investment program'!A1"/>
    <hyperlink ref="L6:M6" location="'Operational data'!A1" display="'Operational data'!A1"/>
  </hyperlinks>
  <pageMargins left="0.70866141732283461" right="0.70866141732283461" top="0.74803149606299213" bottom="0.74803149606299213" header="0.31496062992125984" footer="0.31496062992125984"/>
  <pageSetup paperSize="9" scale="7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7" tint="0.39997558519241921"/>
    <pageSetUpPr fitToPage="1"/>
  </sheetPr>
  <dimension ref="B4:S63"/>
  <sheetViews>
    <sheetView view="pageBreakPreview" zoomScale="85" zoomScaleNormal="70" zoomScaleSheetLayoutView="85" workbookViewId="0">
      <selection activeCell="M28" sqref="M28"/>
    </sheetView>
  </sheetViews>
  <sheetFormatPr defaultColWidth="9.140625" defaultRowHeight="12.75" x14ac:dyDescent="0.2"/>
  <cols>
    <col min="1" max="1" width="3" style="31" customWidth="1"/>
    <col min="2" max="2" width="35.85546875" style="31" customWidth="1"/>
    <col min="3" max="3" width="55.7109375" style="31" hidden="1" customWidth="1"/>
    <col min="4" max="4" width="8" style="31" hidden="1" customWidth="1"/>
    <col min="5" max="5" width="8.140625" style="31" hidden="1" customWidth="1"/>
    <col min="6" max="6" width="7.140625" style="31" hidden="1" customWidth="1"/>
    <col min="7" max="7" width="10.28515625" style="31" customWidth="1"/>
    <col min="8" max="14" width="6.85546875" style="31" bestFit="1" customWidth="1"/>
    <col min="15" max="15" width="7.85546875" style="31" customWidth="1"/>
    <col min="16" max="16" width="10.5703125" style="31" hidden="1" customWidth="1"/>
    <col min="17" max="17" width="10.5703125" style="31" bestFit="1" customWidth="1"/>
    <col min="18" max="18" width="9.7109375" style="31" customWidth="1"/>
    <col min="19" max="16384" width="9.140625" style="31"/>
  </cols>
  <sheetData>
    <row r="4" spans="2:19" ht="24.75" customHeight="1" x14ac:dyDescent="0.2"/>
    <row r="5" spans="2:19" ht="11.25" customHeight="1" x14ac:dyDescent="0.2">
      <c r="D5" s="281"/>
      <c r="E5" s="281"/>
      <c r="F5" s="281"/>
      <c r="G5" s="381" t="str">
        <f>IF(Contents!$B$8="English","Contents","Содержание")</f>
        <v>Содержание</v>
      </c>
      <c r="H5" s="281"/>
      <c r="I5" s="281"/>
      <c r="J5" s="281"/>
      <c r="K5" s="281"/>
      <c r="L5" s="281"/>
      <c r="Q5" s="473" t="str">
        <f>IF(Contents!$B$8="English","Next","Вперед")</f>
        <v>Вперед</v>
      </c>
      <c r="R5" s="473"/>
    </row>
    <row r="6" spans="2:19" ht="11.25" customHeight="1" x14ac:dyDescent="0.2">
      <c r="D6" s="378"/>
      <c r="E6" s="378"/>
      <c r="F6" s="378"/>
      <c r="G6" s="381"/>
      <c r="H6" s="378"/>
      <c r="I6" s="378"/>
      <c r="J6" s="378"/>
      <c r="K6" s="378"/>
      <c r="L6" s="378"/>
      <c r="Q6" s="473" t="str">
        <f>IF(Contents!$B$8="English","Back","Назад")</f>
        <v>Назад</v>
      </c>
      <c r="R6" s="473"/>
    </row>
    <row r="7" spans="2:19" s="144" customFormat="1" ht="18.75" x14ac:dyDescent="0.3">
      <c r="G7" s="475" t="str">
        <f>IF(Contents!$B$8="English","Investment program","Инвестиционная программа")</f>
        <v>Инвестиционная программа</v>
      </c>
      <c r="H7" s="475"/>
      <c r="I7" s="475"/>
      <c r="J7" s="475"/>
      <c r="K7" s="475"/>
      <c r="L7" s="475"/>
      <c r="M7" s="475"/>
      <c r="N7" s="475"/>
      <c r="O7" s="475"/>
      <c r="P7" s="475"/>
      <c r="Q7" s="475"/>
      <c r="R7" s="475"/>
      <c r="S7" s="186"/>
    </row>
    <row r="8" spans="2:19" s="144" customFormat="1" ht="9" customHeight="1" x14ac:dyDescent="0.3">
      <c r="B8" s="183"/>
      <c r="C8" s="183"/>
      <c r="D8" s="183"/>
      <c r="E8" s="183"/>
      <c r="F8" s="183"/>
      <c r="G8" s="183"/>
      <c r="H8" s="183"/>
      <c r="I8" s="183"/>
      <c r="J8" s="183"/>
      <c r="K8" s="183"/>
      <c r="L8" s="183"/>
      <c r="M8" s="183"/>
      <c r="N8" s="297"/>
      <c r="O8" s="297"/>
    </row>
    <row r="9" spans="2:19" x14ac:dyDescent="0.2">
      <c r="B9" s="144" t="str">
        <f>IF(Contents!$B$8="English",C34,B34)</f>
        <v xml:space="preserve">Выполнение инвестиционной программы в Санкт-Петербурге  </v>
      </c>
    </row>
    <row r="10" spans="2:19" x14ac:dyDescent="0.2">
      <c r="B10" s="200"/>
      <c r="C10" s="196">
        <v>2006</v>
      </c>
      <c r="D10" s="196">
        <v>2007</v>
      </c>
      <c r="E10" s="196">
        <v>2008</v>
      </c>
      <c r="F10" s="196">
        <v>2009</v>
      </c>
      <c r="G10" s="197">
        <v>2012</v>
      </c>
      <c r="H10" s="197">
        <v>2013</v>
      </c>
      <c r="I10" s="197">
        <v>2014</v>
      </c>
      <c r="J10" s="197">
        <v>2015</v>
      </c>
      <c r="K10" s="197">
        <v>2016</v>
      </c>
      <c r="L10" s="197">
        <v>2017</v>
      </c>
      <c r="M10" s="197">
        <v>2018</v>
      </c>
      <c r="N10" s="197">
        <v>2019</v>
      </c>
      <c r="O10" s="148">
        <v>2020</v>
      </c>
      <c r="P10" s="197">
        <v>2020</v>
      </c>
      <c r="Q10" s="197" t="s">
        <v>442</v>
      </c>
      <c r="R10" s="198">
        <v>2022</v>
      </c>
    </row>
    <row r="11" spans="2:19" x14ac:dyDescent="0.2">
      <c r="B11" s="201" t="str">
        <f>IF(Contents!$B$8="English",C36,B36)</f>
        <v xml:space="preserve">Освоение, млн руб. без НДС  </v>
      </c>
      <c r="C11" s="189">
        <v>2181.3000000000002</v>
      </c>
      <c r="D11" s="189">
        <v>7343</v>
      </c>
      <c r="E11" s="190">
        <v>8401.4950030599994</v>
      </c>
      <c r="F11" s="190">
        <v>7653.5</v>
      </c>
      <c r="G11" s="191">
        <v>11515</v>
      </c>
      <c r="H11" s="191">
        <v>13158.481566275001</v>
      </c>
      <c r="I11" s="192">
        <v>15608</v>
      </c>
      <c r="J11" s="192">
        <v>5091.3687183900001</v>
      </c>
      <c r="K11" s="192">
        <v>12664</v>
      </c>
      <c r="L11" s="192">
        <v>19871.128371766197</v>
      </c>
      <c r="M11" s="192">
        <v>14856.083000966686</v>
      </c>
      <c r="N11" s="192">
        <v>18790.22536049</v>
      </c>
      <c r="O11" s="192">
        <v>22947</v>
      </c>
      <c r="P11" s="192">
        <v>22947</v>
      </c>
      <c r="Q11" s="192">
        <v>28914.98485185</v>
      </c>
      <c r="R11" s="494">
        <v>31708.117804109999</v>
      </c>
    </row>
    <row r="12" spans="2:19" x14ac:dyDescent="0.2">
      <c r="B12" s="201" t="str">
        <f>IF(Contents!$B$8="English",C37,B37)</f>
        <v xml:space="preserve">Ввод ОФ, млн руб.  </v>
      </c>
      <c r="C12" s="189">
        <v>1105.3696186899999</v>
      </c>
      <c r="D12" s="189">
        <v>3312.7049999999999</v>
      </c>
      <c r="E12" s="190">
        <v>5787.1990050499999</v>
      </c>
      <c r="F12" s="190">
        <v>7206</v>
      </c>
      <c r="G12" s="191">
        <v>12424</v>
      </c>
      <c r="H12" s="191">
        <v>14354.5234925697</v>
      </c>
      <c r="I12" s="192">
        <v>16042</v>
      </c>
      <c r="J12" s="192">
        <v>2618.5219815300002</v>
      </c>
      <c r="K12" s="192">
        <v>9891.3791851642</v>
      </c>
      <c r="L12" s="192">
        <v>18069.10097326884</v>
      </c>
      <c r="M12" s="192">
        <v>15922.697631982935</v>
      </c>
      <c r="N12" s="192">
        <v>18237.396783979999</v>
      </c>
      <c r="O12" s="192">
        <v>23224</v>
      </c>
      <c r="P12" s="192">
        <v>23224</v>
      </c>
      <c r="Q12" s="192">
        <v>26330.18393268</v>
      </c>
      <c r="R12" s="494">
        <v>33678.334540030002</v>
      </c>
    </row>
    <row r="13" spans="2:19" x14ac:dyDescent="0.2">
      <c r="B13" s="201" t="str">
        <f>IF(Contents!$B$8="English",C38,B38)</f>
        <v xml:space="preserve">Финансирование, млн руб. с НДС  </v>
      </c>
      <c r="C13" s="189">
        <v>3384.0880000000002</v>
      </c>
      <c r="D13" s="189">
        <v>9333.7964000000011</v>
      </c>
      <c r="E13" s="190">
        <v>10269.137699999999</v>
      </c>
      <c r="F13" s="190">
        <v>8670</v>
      </c>
      <c r="G13" s="191">
        <v>12337</v>
      </c>
      <c r="H13" s="191">
        <v>13940</v>
      </c>
      <c r="I13" s="192">
        <v>16858</v>
      </c>
      <c r="J13" s="192">
        <v>8776.0664968447072</v>
      </c>
      <c r="K13" s="192">
        <v>15891.5850202571</v>
      </c>
      <c r="L13" s="192">
        <v>27045.516994127316</v>
      </c>
      <c r="M13" s="192">
        <v>18913.119658513697</v>
      </c>
      <c r="N13" s="192">
        <v>23565.093623019999</v>
      </c>
      <c r="O13" s="192">
        <v>25285</v>
      </c>
      <c r="P13" s="192">
        <v>25285</v>
      </c>
      <c r="Q13" s="192">
        <v>34273.439519810003</v>
      </c>
      <c r="R13" s="494">
        <v>38906.912211759998</v>
      </c>
    </row>
    <row r="14" spans="2:19" x14ac:dyDescent="0.2">
      <c r="B14" s="201" t="str">
        <f>IF(Contents!$B$8="English",C39,B39)</f>
        <v xml:space="preserve">Ввод мощности МВА  </v>
      </c>
      <c r="C14" s="189">
        <v>21.2</v>
      </c>
      <c r="D14" s="189">
        <v>376.6</v>
      </c>
      <c r="E14" s="190">
        <v>611.9</v>
      </c>
      <c r="F14" s="190">
        <v>495</v>
      </c>
      <c r="G14" s="94">
        <v>1409</v>
      </c>
      <c r="H14" s="94">
        <v>603</v>
      </c>
      <c r="I14" s="192">
        <v>753</v>
      </c>
      <c r="J14" s="192">
        <v>158.22999999999999</v>
      </c>
      <c r="K14" s="192">
        <v>449.14</v>
      </c>
      <c r="L14" s="192">
        <v>1158.6470000000002</v>
      </c>
      <c r="M14" s="192">
        <v>515.28400000000011</v>
      </c>
      <c r="N14" s="192">
        <v>763.14800000000002</v>
      </c>
      <c r="O14" s="192">
        <v>814</v>
      </c>
      <c r="P14" s="192">
        <v>814</v>
      </c>
      <c r="Q14" s="192">
        <v>1005.266</v>
      </c>
      <c r="R14" s="494">
        <v>1395.7339999999999</v>
      </c>
    </row>
    <row r="15" spans="2:19" x14ac:dyDescent="0.2">
      <c r="B15" s="201" t="str">
        <f>IF(Contents!$B$8="English",C40,B40)</f>
        <v xml:space="preserve">Ввод мощности км  </v>
      </c>
      <c r="C15" s="189">
        <v>30.7</v>
      </c>
      <c r="D15" s="189">
        <v>83.4</v>
      </c>
      <c r="E15" s="190">
        <v>100.7</v>
      </c>
      <c r="F15" s="190">
        <v>316</v>
      </c>
      <c r="G15" s="308">
        <v>716.29810999999995</v>
      </c>
      <c r="H15" s="94">
        <v>764</v>
      </c>
      <c r="I15" s="192">
        <v>836</v>
      </c>
      <c r="J15" s="192">
        <v>218.07129</v>
      </c>
      <c r="K15" s="192">
        <v>528</v>
      </c>
      <c r="L15" s="192">
        <v>683.94362000000001</v>
      </c>
      <c r="M15" s="192">
        <v>655.98067999999989</v>
      </c>
      <c r="N15" s="192">
        <v>579.31599000000006</v>
      </c>
      <c r="O15" s="192">
        <v>692</v>
      </c>
      <c r="P15" s="192">
        <v>692</v>
      </c>
      <c r="Q15" s="192">
        <v>773.45528000000002</v>
      </c>
      <c r="R15" s="494">
        <v>2681.8589699999998</v>
      </c>
    </row>
    <row r="16" spans="2:19" x14ac:dyDescent="0.2">
      <c r="B16" s="201"/>
      <c r="C16" s="193"/>
      <c r="D16" s="193"/>
      <c r="E16" s="94"/>
      <c r="F16" s="94"/>
      <c r="G16" s="94"/>
      <c r="H16" s="193"/>
      <c r="I16" s="193"/>
      <c r="J16" s="193"/>
      <c r="K16" s="193"/>
      <c r="L16" s="193"/>
      <c r="M16" s="193"/>
      <c r="N16" s="488" t="str">
        <f>IF(Contents!$B$8="English","* excluding objects of trust management","* без объектов Д.У.")</f>
        <v>* без объектов Д.У.</v>
      </c>
      <c r="O16" s="488"/>
      <c r="P16" s="488"/>
      <c r="Q16" s="488"/>
      <c r="R16" s="488"/>
    </row>
    <row r="17" spans="2:18" s="194" customFormat="1" x14ac:dyDescent="0.2">
      <c r="B17" s="202" t="str">
        <f>IF(Contents!$B$8="English",C42,B42)</f>
        <v>Выполнение инвестиционной программы в Ленинградской области</v>
      </c>
      <c r="C17" s="188"/>
      <c r="D17" s="188"/>
      <c r="E17" s="188"/>
      <c r="F17" s="188"/>
      <c r="G17" s="188"/>
      <c r="H17" s="188"/>
      <c r="I17" s="188"/>
      <c r="J17" s="188"/>
      <c r="K17" s="188"/>
      <c r="L17" s="188"/>
      <c r="M17" s="188"/>
      <c r="N17" s="188"/>
      <c r="O17" s="188"/>
      <c r="P17" s="188"/>
    </row>
    <row r="18" spans="2:18" x14ac:dyDescent="0.2">
      <c r="B18" s="200"/>
      <c r="C18" s="196">
        <v>2006</v>
      </c>
      <c r="D18" s="196">
        <v>2007</v>
      </c>
      <c r="E18" s="196">
        <v>2008</v>
      </c>
      <c r="F18" s="196">
        <v>2009</v>
      </c>
      <c r="G18" s="196">
        <v>2012</v>
      </c>
      <c r="H18" s="196">
        <v>2013</v>
      </c>
      <c r="I18" s="196">
        <v>2014</v>
      </c>
      <c r="J18" s="197">
        <v>2015</v>
      </c>
      <c r="K18" s="197">
        <v>2016</v>
      </c>
      <c r="L18" s="197">
        <v>2017</v>
      </c>
      <c r="M18" s="197">
        <v>2018</v>
      </c>
      <c r="N18" s="197">
        <v>2019</v>
      </c>
      <c r="O18" s="148">
        <v>2020</v>
      </c>
      <c r="P18" s="197">
        <v>2020</v>
      </c>
      <c r="Q18" s="197">
        <v>2021</v>
      </c>
      <c r="R18" s="198">
        <v>2022</v>
      </c>
    </row>
    <row r="19" spans="2:18" x14ac:dyDescent="0.2">
      <c r="B19" s="201" t="str">
        <f>IF(Contents!$B$8="English",C44,B44)</f>
        <v xml:space="preserve">Освоение, млн руб. без НДС  </v>
      </c>
      <c r="C19" s="190">
        <v>678.7</v>
      </c>
      <c r="D19" s="190">
        <v>1436.9</v>
      </c>
      <c r="E19" s="190">
        <v>3007.7492737299999</v>
      </c>
      <c r="F19" s="190">
        <v>2680.5</v>
      </c>
      <c r="G19" s="192">
        <v>3376</v>
      </c>
      <c r="H19" s="192">
        <v>5570.4494937250001</v>
      </c>
      <c r="I19" s="192">
        <v>7803</v>
      </c>
      <c r="J19" s="192">
        <v>1649.6055792011841</v>
      </c>
      <c r="K19" s="192">
        <v>9546</v>
      </c>
      <c r="L19" s="192">
        <v>8331.5579361038399</v>
      </c>
      <c r="M19" s="192">
        <v>5865.7795750683126</v>
      </c>
      <c r="N19" s="192">
        <v>7344.7258373200002</v>
      </c>
      <c r="O19" s="192">
        <v>8619</v>
      </c>
      <c r="P19" s="192">
        <v>8619</v>
      </c>
      <c r="Q19" s="192">
        <v>8558.9724508899999</v>
      </c>
      <c r="R19" s="494">
        <v>24469.535425940001</v>
      </c>
    </row>
    <row r="20" spans="2:18" x14ac:dyDescent="0.2">
      <c r="B20" s="201" t="str">
        <f>IF(Contents!$B$8="English",C45,B45)</f>
        <v xml:space="preserve">Ввод ОФ, млн руб.  </v>
      </c>
      <c r="C20" s="190">
        <v>459.36683099999999</v>
      </c>
      <c r="D20" s="190">
        <v>1150</v>
      </c>
      <c r="E20" s="190">
        <v>1270.7556665</v>
      </c>
      <c r="F20" s="190">
        <v>2856</v>
      </c>
      <c r="G20" s="192">
        <v>3651</v>
      </c>
      <c r="H20" s="192">
        <v>4298.6458974303196</v>
      </c>
      <c r="I20" s="192">
        <v>8272</v>
      </c>
      <c r="J20" s="192">
        <v>1066.557284529491</v>
      </c>
      <c r="K20" s="192">
        <v>5273.2608463668003</v>
      </c>
      <c r="L20" s="192">
        <v>10713.861198871165</v>
      </c>
      <c r="M20" s="192">
        <v>7342.4436245230027</v>
      </c>
      <c r="N20" s="192">
        <v>5759.9659414399994</v>
      </c>
      <c r="O20" s="192">
        <v>9480</v>
      </c>
      <c r="P20" s="192">
        <v>9480</v>
      </c>
      <c r="Q20" s="192">
        <v>7793.6052217799997</v>
      </c>
      <c r="R20" s="494">
        <v>26166.792893910002</v>
      </c>
    </row>
    <row r="21" spans="2:18" x14ac:dyDescent="0.2">
      <c r="B21" s="201" t="str">
        <f>IF(Contents!$B$8="English",C46,B46)</f>
        <v xml:space="preserve">Финансирование, млн руб. с НДС  </v>
      </c>
      <c r="C21" s="190">
        <v>715.31600000000003</v>
      </c>
      <c r="D21" s="190">
        <v>1607.8418999999999</v>
      </c>
      <c r="E21" s="190">
        <v>3165.5540000000001</v>
      </c>
      <c r="F21" s="190">
        <v>3650</v>
      </c>
      <c r="G21" s="192">
        <v>3663</v>
      </c>
      <c r="H21" s="192">
        <v>5405</v>
      </c>
      <c r="I21" s="192">
        <v>8320</v>
      </c>
      <c r="J21" s="192">
        <v>4368.4714825647989</v>
      </c>
      <c r="K21" s="192">
        <v>11725.885801635706</v>
      </c>
      <c r="L21" s="192">
        <v>8408.7074509008908</v>
      </c>
      <c r="M21" s="192">
        <v>7035.8156940137596</v>
      </c>
      <c r="N21" s="192">
        <v>9003.0429483400003</v>
      </c>
      <c r="O21" s="192">
        <v>11498</v>
      </c>
      <c r="P21" s="192">
        <v>11498</v>
      </c>
      <c r="Q21" s="192">
        <v>11035.166588530001</v>
      </c>
      <c r="R21" s="494">
        <v>28567.997242219997</v>
      </c>
    </row>
    <row r="22" spans="2:18" x14ac:dyDescent="0.2">
      <c r="B22" s="201" t="str">
        <f>IF(Contents!$B$8="English",C47,B47)</f>
        <v xml:space="preserve">Ввод мощности МВА  </v>
      </c>
      <c r="C22" s="190">
        <v>84</v>
      </c>
      <c r="D22" s="190">
        <v>125.7</v>
      </c>
      <c r="E22" s="190">
        <v>92.9</v>
      </c>
      <c r="F22" s="190">
        <v>337</v>
      </c>
      <c r="G22" s="193">
        <v>502</v>
      </c>
      <c r="H22" s="193">
        <v>304</v>
      </c>
      <c r="I22" s="193">
        <v>697</v>
      </c>
      <c r="J22" s="192">
        <v>52.825000000000003</v>
      </c>
      <c r="K22" s="192">
        <v>394.41100000000006</v>
      </c>
      <c r="L22" s="192">
        <v>1170.5190000000002</v>
      </c>
      <c r="M22" s="192">
        <v>515.49300000000005</v>
      </c>
      <c r="N22" s="192">
        <v>314.82600000000002</v>
      </c>
      <c r="O22" s="192">
        <v>678</v>
      </c>
      <c r="P22" s="192">
        <v>678</v>
      </c>
      <c r="Q22" s="192">
        <v>471.56099999999998</v>
      </c>
      <c r="R22" s="494">
        <v>1076.1130000000001</v>
      </c>
    </row>
    <row r="23" spans="2:18" x14ac:dyDescent="0.2">
      <c r="B23" s="201" t="str">
        <f>IF(Contents!$B$8="English",C48,B48)</f>
        <v xml:space="preserve">Ввод мощности км  </v>
      </c>
      <c r="C23" s="190">
        <v>191.5</v>
      </c>
      <c r="D23" s="190">
        <v>162.9</v>
      </c>
      <c r="E23" s="190">
        <v>256.10000000000002</v>
      </c>
      <c r="F23" s="190">
        <v>353</v>
      </c>
      <c r="G23" s="309">
        <v>864.29909999999995</v>
      </c>
      <c r="H23" s="193">
        <v>1082</v>
      </c>
      <c r="I23" s="192">
        <v>1654</v>
      </c>
      <c r="J23" s="192">
        <v>234.33456000000001</v>
      </c>
      <c r="K23" s="192">
        <v>1619</v>
      </c>
      <c r="L23" s="192">
        <v>1452.12778</v>
      </c>
      <c r="M23" s="192">
        <v>1243.5560800000001</v>
      </c>
      <c r="N23" s="192">
        <v>1714.77486</v>
      </c>
      <c r="O23" s="192">
        <v>2101</v>
      </c>
      <c r="P23" s="192">
        <v>2101</v>
      </c>
      <c r="Q23" s="192">
        <v>1475.02406</v>
      </c>
      <c r="R23" s="494">
        <v>874.58951000000002</v>
      </c>
    </row>
    <row r="24" spans="2:18" x14ac:dyDescent="0.2">
      <c r="B24" s="201"/>
      <c r="C24" s="193"/>
      <c r="D24" s="193"/>
      <c r="E24" s="94"/>
      <c r="F24" s="94"/>
      <c r="G24" s="94"/>
      <c r="H24" s="193"/>
      <c r="I24" s="193"/>
      <c r="J24" s="193"/>
      <c r="K24" s="193"/>
      <c r="L24" s="193"/>
      <c r="M24" s="192"/>
      <c r="N24" s="192"/>
      <c r="O24" s="192"/>
      <c r="P24" s="192"/>
    </row>
    <row r="25" spans="2:18" s="194" customFormat="1" x14ac:dyDescent="0.2">
      <c r="B25" s="202" t="str">
        <f>IF(Contents!$B$8="English",C50,B50)</f>
        <v>Выполнение инвестиционной программы ПАО «Россети Ленэнерго»</v>
      </c>
      <c r="C25" s="188"/>
      <c r="D25" s="188"/>
      <c r="E25" s="188"/>
      <c r="F25" s="188"/>
      <c r="G25" s="188"/>
      <c r="H25" s="188"/>
      <c r="I25" s="188"/>
      <c r="J25" s="188"/>
      <c r="K25" s="188"/>
      <c r="L25" s="188"/>
      <c r="M25" s="188"/>
      <c r="N25" s="188"/>
      <c r="O25" s="188"/>
      <c r="P25" s="188"/>
    </row>
    <row r="26" spans="2:18" x14ac:dyDescent="0.2">
      <c r="B26" s="200"/>
      <c r="C26" s="196">
        <v>2006</v>
      </c>
      <c r="D26" s="196">
        <v>2007</v>
      </c>
      <c r="E26" s="196">
        <v>2008</v>
      </c>
      <c r="F26" s="196">
        <v>2009</v>
      </c>
      <c r="G26" s="196">
        <v>2012</v>
      </c>
      <c r="H26" s="196">
        <v>2013</v>
      </c>
      <c r="I26" s="196">
        <v>2014</v>
      </c>
      <c r="J26" s="197">
        <v>2015</v>
      </c>
      <c r="K26" s="197">
        <v>2016</v>
      </c>
      <c r="L26" s="197">
        <v>2017</v>
      </c>
      <c r="M26" s="197">
        <v>2018</v>
      </c>
      <c r="N26" s="197">
        <v>2019</v>
      </c>
      <c r="O26" s="148">
        <v>2020</v>
      </c>
      <c r="P26" s="197">
        <v>2020</v>
      </c>
      <c r="Q26" s="197">
        <v>2021</v>
      </c>
      <c r="R26" s="198">
        <v>2022</v>
      </c>
    </row>
    <row r="27" spans="2:18" x14ac:dyDescent="0.2">
      <c r="B27" s="201" t="str">
        <f>IF(Contents!$B$8="English",C52,B52)</f>
        <v xml:space="preserve">Освоение, млн руб. без НДС  </v>
      </c>
      <c r="C27" s="191">
        <v>2860</v>
      </c>
      <c r="D27" s="191">
        <v>8779.9</v>
      </c>
      <c r="E27" s="191">
        <v>11409.244276789999</v>
      </c>
      <c r="F27" s="191">
        <v>10334</v>
      </c>
      <c r="G27" s="195">
        <v>14891</v>
      </c>
      <c r="H27" s="195">
        <v>18728.931060000003</v>
      </c>
      <c r="I27" s="192">
        <v>23411</v>
      </c>
      <c r="J27" s="192">
        <v>6740.974297591184</v>
      </c>
      <c r="K27" s="192">
        <v>22210</v>
      </c>
      <c r="L27" s="192">
        <v>28202.686307870037</v>
      </c>
      <c r="M27" s="192">
        <v>20721.862576034997</v>
      </c>
      <c r="N27" s="192">
        <v>26134.951197810002</v>
      </c>
      <c r="O27" s="192">
        <v>31566</v>
      </c>
      <c r="P27" s="192">
        <v>31566</v>
      </c>
      <c r="Q27" s="192">
        <v>37473.957302739997</v>
      </c>
      <c r="R27" s="494">
        <v>7238.5823781700001</v>
      </c>
    </row>
    <row r="28" spans="2:18" x14ac:dyDescent="0.2">
      <c r="B28" s="201" t="str">
        <f>IF(Contents!$B$8="English",C53,B53)</f>
        <v xml:space="preserve">Ввод ОФ, млн руб.  </v>
      </c>
      <c r="C28" s="191">
        <v>1564.73644969</v>
      </c>
      <c r="D28" s="191">
        <v>4462.7049999999999</v>
      </c>
      <c r="E28" s="191">
        <v>7057.9546715500001</v>
      </c>
      <c r="F28" s="191">
        <v>10062</v>
      </c>
      <c r="G28" s="191">
        <v>16075</v>
      </c>
      <c r="H28" s="191">
        <v>18653.169390000021</v>
      </c>
      <c r="I28" s="192">
        <v>24314</v>
      </c>
      <c r="J28" s="192">
        <v>3685.0792660594911</v>
      </c>
      <c r="K28" s="192">
        <v>15164.640031531</v>
      </c>
      <c r="L28" s="192">
        <v>28782.962172140004</v>
      </c>
      <c r="M28" s="192">
        <v>23265.14125650594</v>
      </c>
      <c r="N28" s="192">
        <v>23997.36272542</v>
      </c>
      <c r="O28" s="192">
        <v>32704</v>
      </c>
      <c r="P28" s="192">
        <v>32704</v>
      </c>
      <c r="Q28" s="192">
        <v>34123.789154459999</v>
      </c>
      <c r="R28" s="494">
        <v>7511.5416461200002</v>
      </c>
    </row>
    <row r="29" spans="2:18" x14ac:dyDescent="0.2">
      <c r="B29" s="201" t="str">
        <f>IF(Contents!$B$8="English",C54,B54)</f>
        <v xml:space="preserve">Финансирование, млн руб. с НДС  </v>
      </c>
      <c r="C29" s="191">
        <v>4099.4040000000005</v>
      </c>
      <c r="D29" s="191">
        <v>10941.638300000001</v>
      </c>
      <c r="E29" s="191">
        <v>13434.691699999999</v>
      </c>
      <c r="F29" s="191">
        <v>12320</v>
      </c>
      <c r="G29" s="191">
        <v>16000</v>
      </c>
      <c r="H29" s="191">
        <v>19345</v>
      </c>
      <c r="I29" s="192">
        <v>25178</v>
      </c>
      <c r="J29" s="192">
        <v>13144.537979409506</v>
      </c>
      <c r="K29" s="192">
        <v>27617.470821892806</v>
      </c>
      <c r="L29" s="192">
        <v>35454.224445028209</v>
      </c>
      <c r="M29" s="192">
        <v>25948.935352527456</v>
      </c>
      <c r="N29" s="192">
        <v>32568.136571359999</v>
      </c>
      <c r="O29" s="192">
        <v>36783</v>
      </c>
      <c r="P29" s="192">
        <v>36783</v>
      </c>
      <c r="Q29" s="192">
        <v>45308.606108339998</v>
      </c>
      <c r="R29" s="494">
        <v>10338.914969539999</v>
      </c>
    </row>
    <row r="30" spans="2:18" x14ac:dyDescent="0.2">
      <c r="B30" s="201" t="str">
        <f>IF(Contents!$B$8="English",C55,B55)</f>
        <v xml:space="preserve">Ввод мощности МВА  </v>
      </c>
      <c r="C30" s="191">
        <v>105.2</v>
      </c>
      <c r="D30" s="191">
        <v>502.3</v>
      </c>
      <c r="E30" s="191">
        <v>704.8</v>
      </c>
      <c r="F30" s="191">
        <v>832</v>
      </c>
      <c r="G30" s="191">
        <v>1911</v>
      </c>
      <c r="H30" s="191">
        <v>907</v>
      </c>
      <c r="I30" s="192">
        <v>1450</v>
      </c>
      <c r="J30" s="192">
        <v>211.05500000000001</v>
      </c>
      <c r="K30" s="192">
        <v>843.55100000000004</v>
      </c>
      <c r="L30" s="192">
        <v>2329.1660000000002</v>
      </c>
      <c r="M30" s="192">
        <v>1030.777</v>
      </c>
      <c r="N30" s="192">
        <v>1077.9739999999999</v>
      </c>
      <c r="O30" s="192">
        <v>1492</v>
      </c>
      <c r="P30" s="192">
        <v>1492</v>
      </c>
      <c r="Q30" s="192">
        <v>1476.827</v>
      </c>
      <c r="R30" s="494">
        <v>319.62099999999998</v>
      </c>
    </row>
    <row r="31" spans="2:18" x14ac:dyDescent="0.2">
      <c r="B31" s="201" t="str">
        <f>IF(Contents!$B$8="English",C56,B56)</f>
        <v xml:space="preserve">Ввод мощности км  </v>
      </c>
      <c r="C31" s="191">
        <v>222.2</v>
      </c>
      <c r="D31" s="191">
        <v>246.3</v>
      </c>
      <c r="E31" s="191">
        <v>356.8</v>
      </c>
      <c r="F31" s="191">
        <v>669</v>
      </c>
      <c r="G31" s="191">
        <v>1580.5972099999999</v>
      </c>
      <c r="H31" s="191">
        <v>1846</v>
      </c>
      <c r="I31" s="192">
        <v>2490</v>
      </c>
      <c r="J31" s="192">
        <v>452.40584999999999</v>
      </c>
      <c r="K31" s="192">
        <v>2147</v>
      </c>
      <c r="L31" s="192">
        <v>2136.0713999999998</v>
      </c>
      <c r="M31" s="192">
        <v>1899.53676</v>
      </c>
      <c r="N31" s="192">
        <v>2294.09085</v>
      </c>
      <c r="O31" s="192">
        <v>2793</v>
      </c>
      <c r="P31" s="192">
        <v>2793</v>
      </c>
      <c r="Q31" s="192">
        <v>2248.4793399999999</v>
      </c>
      <c r="R31" s="494">
        <v>1807.26946</v>
      </c>
    </row>
    <row r="32" spans="2:18" x14ac:dyDescent="0.2">
      <c r="B32" s="93"/>
      <c r="C32" s="191"/>
      <c r="D32" s="191"/>
      <c r="E32" s="191"/>
      <c r="F32" s="191"/>
      <c r="G32" s="191"/>
      <c r="H32" s="191"/>
      <c r="I32" s="191"/>
    </row>
    <row r="33" spans="2:9" s="51" customFormat="1" x14ac:dyDescent="0.2">
      <c r="B33" s="224"/>
      <c r="C33" s="266"/>
      <c r="D33" s="266"/>
      <c r="E33" s="266"/>
      <c r="F33" s="266"/>
      <c r="G33" s="266"/>
      <c r="H33" s="266"/>
      <c r="I33" s="266"/>
    </row>
    <row r="34" spans="2:9" s="51" customFormat="1" x14ac:dyDescent="0.2">
      <c r="B34" s="203" t="s">
        <v>396</v>
      </c>
      <c r="C34" s="204" t="s">
        <v>187</v>
      </c>
      <c r="D34" s="204"/>
      <c r="E34" s="266"/>
      <c r="F34" s="266"/>
      <c r="G34" s="266"/>
      <c r="H34" s="266"/>
      <c r="I34" s="266"/>
    </row>
    <row r="35" spans="2:9" s="51" customFormat="1" x14ac:dyDescent="0.2">
      <c r="B35" s="207"/>
      <c r="C35" s="204"/>
      <c r="D35" s="204"/>
      <c r="E35" s="266"/>
      <c r="F35" s="266"/>
      <c r="G35" s="266"/>
      <c r="H35" s="266"/>
      <c r="I35" s="266"/>
    </row>
    <row r="36" spans="2:9" s="51" customFormat="1" x14ac:dyDescent="0.2">
      <c r="B36" s="205" t="s">
        <v>218</v>
      </c>
      <c r="C36" s="204" t="s">
        <v>303</v>
      </c>
      <c r="D36" s="204"/>
      <c r="E36" s="266"/>
      <c r="F36" s="266"/>
      <c r="G36" s="266"/>
      <c r="H36" s="266"/>
      <c r="I36" s="266"/>
    </row>
    <row r="37" spans="2:9" s="51" customFormat="1" x14ac:dyDescent="0.2">
      <c r="B37" s="205" t="s">
        <v>219</v>
      </c>
      <c r="C37" s="128" t="s">
        <v>291</v>
      </c>
      <c r="D37" s="128"/>
    </row>
    <row r="38" spans="2:9" s="51" customFormat="1" x14ac:dyDescent="0.2">
      <c r="B38" s="205" t="s">
        <v>220</v>
      </c>
      <c r="C38" s="128" t="s">
        <v>292</v>
      </c>
      <c r="D38" s="128"/>
    </row>
    <row r="39" spans="2:9" s="51" customFormat="1" x14ac:dyDescent="0.2">
      <c r="B39" s="205" t="s">
        <v>26</v>
      </c>
      <c r="C39" s="128" t="s">
        <v>304</v>
      </c>
      <c r="D39" s="128"/>
    </row>
    <row r="40" spans="2:9" s="51" customFormat="1" x14ac:dyDescent="0.2">
      <c r="B40" s="205" t="s">
        <v>27</v>
      </c>
      <c r="C40" s="128" t="s">
        <v>189</v>
      </c>
      <c r="D40" s="128"/>
    </row>
    <row r="41" spans="2:9" s="51" customFormat="1" x14ac:dyDescent="0.2">
      <c r="B41" s="205"/>
      <c r="C41" s="128"/>
      <c r="D41" s="128"/>
    </row>
    <row r="42" spans="2:9" s="51" customFormat="1" x14ac:dyDescent="0.2">
      <c r="B42" s="206" t="s">
        <v>37</v>
      </c>
      <c r="C42" s="128" t="s">
        <v>190</v>
      </c>
      <c r="D42" s="128"/>
    </row>
    <row r="43" spans="2:9" s="51" customFormat="1" x14ac:dyDescent="0.2">
      <c r="B43" s="207"/>
      <c r="C43" s="128"/>
      <c r="D43" s="128"/>
    </row>
    <row r="44" spans="2:9" s="51" customFormat="1" x14ac:dyDescent="0.2">
      <c r="B44" s="205" t="s">
        <v>218</v>
      </c>
      <c r="C44" s="128" t="s">
        <v>303</v>
      </c>
      <c r="D44" s="128"/>
    </row>
    <row r="45" spans="2:9" s="51" customFormat="1" x14ac:dyDescent="0.2">
      <c r="B45" s="205" t="s">
        <v>219</v>
      </c>
      <c r="C45" s="128" t="s">
        <v>291</v>
      </c>
      <c r="D45" s="128"/>
    </row>
    <row r="46" spans="2:9" s="51" customFormat="1" x14ac:dyDescent="0.2">
      <c r="B46" s="205" t="s">
        <v>220</v>
      </c>
      <c r="C46" s="128" t="s">
        <v>292</v>
      </c>
      <c r="D46" s="128"/>
    </row>
    <row r="47" spans="2:9" s="51" customFormat="1" x14ac:dyDescent="0.2">
      <c r="B47" s="205" t="s">
        <v>26</v>
      </c>
      <c r="C47" s="128" t="s">
        <v>304</v>
      </c>
      <c r="D47" s="128"/>
    </row>
    <row r="48" spans="2:9" s="51" customFormat="1" x14ac:dyDescent="0.2">
      <c r="B48" s="205" t="s">
        <v>27</v>
      </c>
      <c r="C48" s="128" t="s">
        <v>189</v>
      </c>
      <c r="D48" s="128"/>
    </row>
    <row r="49" spans="2:9" s="51" customFormat="1" x14ac:dyDescent="0.2">
      <c r="B49" s="205"/>
      <c r="C49" s="128"/>
      <c r="D49" s="128"/>
    </row>
    <row r="50" spans="2:9" s="51" customFormat="1" x14ac:dyDescent="0.2">
      <c r="B50" s="206" t="s">
        <v>358</v>
      </c>
      <c r="C50" s="128" t="s">
        <v>359</v>
      </c>
      <c r="D50" s="128"/>
    </row>
    <row r="51" spans="2:9" s="51" customFormat="1" x14ac:dyDescent="0.2">
      <c r="B51" s="207"/>
      <c r="C51" s="128"/>
      <c r="D51" s="128"/>
    </row>
    <row r="52" spans="2:9" s="51" customFormat="1" x14ac:dyDescent="0.2">
      <c r="B52" s="205" t="s">
        <v>218</v>
      </c>
      <c r="C52" s="128" t="s">
        <v>303</v>
      </c>
      <c r="D52" s="128"/>
    </row>
    <row r="53" spans="2:9" s="51" customFormat="1" x14ac:dyDescent="0.2">
      <c r="B53" s="205" t="s">
        <v>219</v>
      </c>
      <c r="C53" s="128" t="s">
        <v>291</v>
      </c>
      <c r="D53" s="128"/>
      <c r="G53" s="261" t="s">
        <v>347</v>
      </c>
      <c r="H53" s="261" t="s">
        <v>348</v>
      </c>
      <c r="I53" s="261" t="s">
        <v>348</v>
      </c>
    </row>
    <row r="54" spans="2:9" s="51" customFormat="1" x14ac:dyDescent="0.2">
      <c r="B54" s="205" t="s">
        <v>220</v>
      </c>
      <c r="C54" s="128" t="s">
        <v>292</v>
      </c>
      <c r="D54" s="128"/>
    </row>
    <row r="55" spans="2:9" s="51" customFormat="1" x14ac:dyDescent="0.2">
      <c r="B55" s="205" t="s">
        <v>26</v>
      </c>
      <c r="C55" s="128" t="s">
        <v>304</v>
      </c>
      <c r="D55" s="128"/>
    </row>
    <row r="56" spans="2:9" s="51" customFormat="1" x14ac:dyDescent="0.2">
      <c r="B56" s="205" t="s">
        <v>27</v>
      </c>
      <c r="C56" s="128" t="s">
        <v>189</v>
      </c>
      <c r="D56" s="128"/>
    </row>
    <row r="57" spans="2:9" s="51" customFormat="1" x14ac:dyDescent="0.2"/>
    <row r="58" spans="2:9" s="51" customFormat="1" x14ac:dyDescent="0.2"/>
    <row r="59" spans="2:9" s="51" customFormat="1" x14ac:dyDescent="0.2"/>
    <row r="60" spans="2:9" s="51" customFormat="1" x14ac:dyDescent="0.2"/>
    <row r="61" spans="2:9" s="51" customFormat="1" x14ac:dyDescent="0.2"/>
    <row r="62" spans="2:9" s="51" customFormat="1" x14ac:dyDescent="0.2"/>
    <row r="63" spans="2:9" s="51" customFormat="1" x14ac:dyDescent="0.2"/>
  </sheetData>
  <sheetProtection formatCells="0" formatColumns="0" formatRows="0" insertColumns="0" insertRows="0" insertHyperlinks="0" deleteColumns="0" deleteRows="0" sort="0" autoFilter="0" pivotTables="0"/>
  <mergeCells count="4">
    <mergeCell ref="Q5:R5"/>
    <mergeCell ref="G7:R7"/>
    <mergeCell ref="Q6:R6"/>
    <mergeCell ref="N16:R16"/>
  </mergeCells>
  <hyperlinks>
    <hyperlink ref="G5" location="Contents!A1" display="Contents!A1"/>
    <hyperlink ref="Q5:R5" location="'LT investment program'!A1" display="'LT investment program'!A1"/>
    <hyperlink ref="Q6:R6" location="'Energy transmission'!A1" display="'Energy transmission'!A1"/>
  </hyperlink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pageSetUpPr fitToPage="1"/>
  </sheetPr>
  <dimension ref="B5:Q90"/>
  <sheetViews>
    <sheetView view="pageBreakPreview" zoomScale="85" zoomScaleNormal="70" zoomScaleSheetLayoutView="85" workbookViewId="0">
      <selection activeCell="G21" sqref="G21"/>
    </sheetView>
  </sheetViews>
  <sheetFormatPr defaultColWidth="9.140625" defaultRowHeight="12.75" x14ac:dyDescent="0.2"/>
  <cols>
    <col min="1" max="1" width="2.7109375" style="31" customWidth="1"/>
    <col min="2" max="2" width="40.5703125" style="31" customWidth="1"/>
    <col min="3" max="3" width="18.42578125" style="31" customWidth="1"/>
    <col min="4" max="4" width="18.140625" style="31" customWidth="1"/>
    <col min="5" max="5" width="18.5703125" style="31" customWidth="1"/>
    <col min="6" max="6" width="14.85546875" style="31" customWidth="1"/>
    <col min="7" max="7" width="16" style="31" customWidth="1"/>
    <col min="8" max="8" width="2" style="31" customWidth="1"/>
    <col min="9" max="9" width="9.140625" style="31"/>
    <col min="10" max="10" width="33.5703125" style="31" customWidth="1"/>
    <col min="11" max="11" width="11" style="31" customWidth="1"/>
    <col min="12" max="12" width="9.7109375" style="31" bestFit="1" customWidth="1"/>
    <col min="13" max="14" width="9.85546875" style="31" customWidth="1"/>
    <col min="15" max="16384" width="9.140625" style="31"/>
  </cols>
  <sheetData>
    <row r="5" spans="2:17" ht="12" customHeight="1" x14ac:dyDescent="0.2">
      <c r="C5" s="381" t="str">
        <f>IF(Contents!$B$8="English","Contents","Содержание")</f>
        <v>Содержание</v>
      </c>
      <c r="D5" s="281"/>
      <c r="E5" s="281"/>
      <c r="G5" s="384" t="str">
        <f>IF(Contents!$B$8="English","Next","Вперед")</f>
        <v>Вперед</v>
      </c>
      <c r="H5" s="161"/>
      <c r="I5" s="281"/>
      <c r="J5" s="281"/>
      <c r="K5" s="281"/>
      <c r="L5" s="281"/>
      <c r="M5" s="483"/>
      <c r="N5" s="483"/>
    </row>
    <row r="6" spans="2:17" ht="12" customHeight="1" x14ac:dyDescent="0.2">
      <c r="C6" s="381"/>
      <c r="D6" s="378"/>
      <c r="E6" s="378"/>
      <c r="G6" s="384" t="str">
        <f>IF(Contents!$B$8="English","Back","Назад")</f>
        <v>Назад</v>
      </c>
      <c r="H6" s="161"/>
      <c r="I6" s="378"/>
      <c r="J6" s="378"/>
      <c r="K6" s="378"/>
      <c r="L6" s="378"/>
      <c r="M6" s="379"/>
      <c r="N6" s="379"/>
    </row>
    <row r="7" spans="2:17" ht="18.75" x14ac:dyDescent="0.3">
      <c r="B7" s="475" t="str">
        <f>IF(Contents!$B$8="English","Long-term investment program parameters","Параметры долгосрочной Инвестиционной Программы")</f>
        <v>Параметры долгосрочной Инвестиционной Программы</v>
      </c>
      <c r="C7" s="475"/>
      <c r="D7" s="475"/>
      <c r="E7" s="475"/>
      <c r="F7" s="475"/>
      <c r="G7" s="475"/>
      <c r="H7" s="186"/>
      <c r="I7" s="186"/>
      <c r="J7" s="186"/>
      <c r="K7" s="186"/>
      <c r="L7" s="186"/>
      <c r="M7" s="186"/>
      <c r="N7" s="186"/>
    </row>
    <row r="8" spans="2:17" ht="9.75" customHeight="1" x14ac:dyDescent="0.2">
      <c r="B8" s="489" t="str">
        <f>IF(Contents!$B$8="English","Key parameters of the long-term Investment Program, approved by order of the Ministry of Energy of Russia as of 29.12.2020 No. 31@","Ключевые параметры долгосрочной Инвестиционной программы, утвержденной приказом Минэнерго России от 29.12.2020 № 31@")</f>
        <v>Ключевые параметры долгосрочной Инвестиционной программы, утвержденной приказом Минэнерго России от 29.12.2020 № 31@</v>
      </c>
      <c r="C8" s="489"/>
      <c r="D8" s="489"/>
      <c r="E8" s="489"/>
      <c r="F8" s="489"/>
      <c r="G8" s="489"/>
      <c r="H8" s="223"/>
      <c r="I8" s="223"/>
      <c r="J8" s="223"/>
      <c r="K8" s="223"/>
      <c r="L8" s="223"/>
      <c r="M8" s="223"/>
      <c r="N8" s="223"/>
      <c r="O8" s="223"/>
      <c r="P8" s="223"/>
      <c r="Q8" s="223"/>
    </row>
    <row r="9" spans="2:17" x14ac:dyDescent="0.2">
      <c r="J9" s="223"/>
      <c r="K9" s="223"/>
      <c r="L9" s="223"/>
      <c r="M9" s="223"/>
      <c r="N9" s="223"/>
      <c r="O9" s="223"/>
      <c r="P9" s="223"/>
      <c r="Q9" s="223"/>
    </row>
    <row r="10" spans="2:17" x14ac:dyDescent="0.2">
      <c r="B10" s="144" t="str">
        <f>IF(Contents!$B$8="English",C59,B59)</f>
        <v>Основные параметры долгосрочной Инвестиционной Программы ПАО «Россети Ленэнерго»</v>
      </c>
      <c r="C10" s="144"/>
      <c r="D10" s="144"/>
      <c r="E10" s="144"/>
      <c r="F10" s="144"/>
      <c r="G10" s="144"/>
      <c r="J10" s="223"/>
      <c r="K10" s="223"/>
      <c r="L10" s="223"/>
      <c r="M10" s="223"/>
      <c r="N10" s="223"/>
      <c r="O10" s="223"/>
      <c r="P10" s="223"/>
      <c r="Q10" s="223"/>
    </row>
    <row r="11" spans="2:17" ht="30.75" customHeight="1" x14ac:dyDescent="0.2">
      <c r="B11" s="219"/>
      <c r="C11" s="222" t="s">
        <v>459</v>
      </c>
      <c r="D11" s="222" t="s">
        <v>443</v>
      </c>
      <c r="E11" s="222" t="s">
        <v>444</v>
      </c>
      <c r="F11" s="222" t="s">
        <v>445</v>
      </c>
      <c r="G11" s="222" t="s">
        <v>446</v>
      </c>
      <c r="I11" s="223"/>
      <c r="J11" s="223"/>
      <c r="K11" s="223"/>
      <c r="L11" s="223"/>
      <c r="M11" s="223"/>
      <c r="N11" s="223"/>
      <c r="O11" s="223"/>
      <c r="P11" s="223"/>
    </row>
    <row r="12" spans="2:17" x14ac:dyDescent="0.2">
      <c r="B12" s="93" t="str">
        <f>IF(Contents!$B$8="English",C61,B61)</f>
        <v xml:space="preserve">Капитальные вложения, млн руб. без НДС  </v>
      </c>
      <c r="C12" s="191">
        <v>34818.52566705551</v>
      </c>
      <c r="D12" s="191">
        <v>25820.200763965113</v>
      </c>
      <c r="E12" s="191">
        <v>41404.011378341216</v>
      </c>
      <c r="F12" s="191">
        <v>35026.01037706872</v>
      </c>
      <c r="G12" s="191">
        <v>28383.116695094548</v>
      </c>
      <c r="I12" s="223"/>
      <c r="J12" s="223"/>
      <c r="K12" s="223"/>
      <c r="L12" s="223"/>
      <c r="M12" s="223"/>
      <c r="N12" s="223"/>
      <c r="O12" s="223"/>
      <c r="P12" s="223"/>
    </row>
    <row r="13" spans="2:17" x14ac:dyDescent="0.2">
      <c r="B13" s="93" t="str">
        <f>IF(Contents!$B$8="English",C62,B62)</f>
        <v xml:space="preserve">Ввод ОФ, млн руб.  </v>
      </c>
      <c r="C13" s="191">
        <v>30407.937081115353</v>
      </c>
      <c r="D13" s="191">
        <v>26395.82729479091</v>
      </c>
      <c r="E13" s="191">
        <v>40682.97195252018</v>
      </c>
      <c r="F13" s="191">
        <v>42189.773348987517</v>
      </c>
      <c r="G13" s="191">
        <v>30283.538983778853</v>
      </c>
      <c r="I13" s="223"/>
      <c r="J13" s="223"/>
      <c r="K13" s="223"/>
      <c r="L13" s="223"/>
      <c r="M13" s="223"/>
      <c r="N13" s="223"/>
      <c r="O13" s="223"/>
      <c r="P13" s="223"/>
    </row>
    <row r="14" spans="2:17" x14ac:dyDescent="0.2">
      <c r="B14" s="93" t="str">
        <f>IF(Contents!$B$8="English",C63,B63)</f>
        <v xml:space="preserve">Финансирование, млн руб. с НДС  </v>
      </c>
      <c r="C14" s="191">
        <v>39941.207275218847</v>
      </c>
      <c r="D14" s="191">
        <v>34297.761387613798</v>
      </c>
      <c r="E14" s="191">
        <v>38974.268964105278</v>
      </c>
      <c r="F14" s="191">
        <v>38274.538646665118</v>
      </c>
      <c r="G14" s="191">
        <v>40777.260431077964</v>
      </c>
      <c r="I14" s="223"/>
      <c r="J14" s="223"/>
      <c r="K14" s="223"/>
      <c r="L14" s="223"/>
      <c r="M14" s="223"/>
      <c r="N14" s="223"/>
      <c r="O14" s="223"/>
      <c r="P14" s="223"/>
    </row>
    <row r="15" spans="2:17" x14ac:dyDescent="0.2">
      <c r="B15" s="93" t="str">
        <f>IF(Contents!$B$8="English",C64,B64)</f>
        <v xml:space="preserve">Ввод мощности, МВА  </v>
      </c>
      <c r="C15" s="191">
        <v>1024.6578862863148</v>
      </c>
      <c r="D15" s="191">
        <v>1345.0005512164707</v>
      </c>
      <c r="E15" s="191">
        <v>1005.3015950339426</v>
      </c>
      <c r="F15" s="191">
        <v>692.78965657926551</v>
      </c>
      <c r="G15" s="191">
        <v>310.35704293234733</v>
      </c>
      <c r="I15" s="223"/>
      <c r="J15" s="223"/>
      <c r="K15" s="223"/>
      <c r="L15" s="223"/>
      <c r="M15" s="223"/>
      <c r="N15" s="223"/>
      <c r="O15" s="223"/>
      <c r="P15" s="223"/>
    </row>
    <row r="16" spans="2:17" x14ac:dyDescent="0.2">
      <c r="B16" s="93" t="str">
        <f>IF(Contents!$B$8="English",C65,B65)</f>
        <v xml:space="preserve">Ввод линий электропередач, км  </v>
      </c>
      <c r="C16" s="191">
        <v>1645.1438228486379</v>
      </c>
      <c r="D16" s="191">
        <v>2172.1311520863933</v>
      </c>
      <c r="E16" s="191">
        <v>1919.7153096308891</v>
      </c>
      <c r="F16" s="191">
        <v>1689.748685420124</v>
      </c>
      <c r="G16" s="191">
        <v>1509.4733161610534</v>
      </c>
      <c r="I16" s="223"/>
      <c r="J16" s="223"/>
      <c r="K16" s="223"/>
      <c r="L16" s="223"/>
      <c r="M16" s="223"/>
      <c r="N16" s="223"/>
      <c r="O16" s="223"/>
      <c r="P16" s="223"/>
    </row>
    <row r="17" spans="2:16" x14ac:dyDescent="0.2">
      <c r="B17" s="93"/>
      <c r="C17" s="191"/>
      <c r="D17" s="191"/>
      <c r="E17" s="191"/>
      <c r="F17" s="191"/>
      <c r="I17" s="223"/>
      <c r="J17" s="223"/>
      <c r="K17" s="223"/>
      <c r="L17" s="223"/>
      <c r="M17" s="223"/>
      <c r="N17" s="223"/>
      <c r="O17" s="223"/>
      <c r="P17" s="223"/>
    </row>
    <row r="18" spans="2:16" x14ac:dyDescent="0.2">
      <c r="B18" s="93"/>
      <c r="C18" s="191"/>
      <c r="D18" s="191"/>
      <c r="E18" s="191"/>
      <c r="F18" s="191"/>
      <c r="I18" s="223"/>
      <c r="J18" s="223"/>
      <c r="K18" s="223"/>
      <c r="L18" s="223"/>
      <c r="M18" s="223"/>
      <c r="N18" s="223"/>
      <c r="O18" s="223"/>
      <c r="P18" s="223"/>
    </row>
    <row r="19" spans="2:16" s="37" customFormat="1" x14ac:dyDescent="0.2">
      <c r="B19" s="37" t="str">
        <f>IF(Contents!$B$8="English",C68,B68)</f>
        <v>Финансирование по регионам</v>
      </c>
      <c r="C19" s="220"/>
      <c r="D19" s="220"/>
      <c r="E19" s="220"/>
      <c r="F19" s="220"/>
      <c r="I19" s="223"/>
      <c r="J19" s="223"/>
      <c r="K19" s="223"/>
      <c r="L19" s="223"/>
      <c r="M19" s="223"/>
      <c r="N19" s="223"/>
      <c r="O19" s="223"/>
      <c r="P19" s="223"/>
    </row>
    <row r="20" spans="2:16" s="144" customFormat="1" x14ac:dyDescent="0.2">
      <c r="C20" s="220"/>
      <c r="D20" s="220"/>
      <c r="E20" s="220"/>
      <c r="F20" s="220"/>
      <c r="I20" s="223"/>
      <c r="J20" s="223"/>
      <c r="K20" s="223"/>
      <c r="L20" s="223"/>
      <c r="M20" s="223"/>
      <c r="N20" s="223"/>
      <c r="O20" s="223"/>
      <c r="P20" s="223"/>
    </row>
    <row r="21" spans="2:16" ht="21" customHeight="1" x14ac:dyDescent="0.2">
      <c r="B21" s="144" t="str">
        <f>IF(Contents!$B$8="English",C70,B70)</f>
        <v>Санкт-Петербург</v>
      </c>
      <c r="C21" s="220"/>
      <c r="D21" s="220"/>
      <c r="E21" s="220"/>
      <c r="F21" s="220"/>
      <c r="I21" s="223"/>
      <c r="J21" s="223"/>
      <c r="K21" s="223"/>
      <c r="L21" s="223"/>
      <c r="M21" s="223"/>
      <c r="N21" s="223"/>
      <c r="O21" s="223"/>
      <c r="P21" s="223"/>
    </row>
    <row r="22" spans="2:16" ht="21" customHeight="1" x14ac:dyDescent="0.2">
      <c r="B22" s="219"/>
      <c r="C22" s="222" t="s">
        <v>442</v>
      </c>
      <c r="D22" s="222" t="s">
        <v>443</v>
      </c>
      <c r="E22" s="222" t="s">
        <v>444</v>
      </c>
      <c r="F22" s="222" t="s">
        <v>445</v>
      </c>
      <c r="G22" s="222" t="s">
        <v>446</v>
      </c>
      <c r="I22" s="223"/>
      <c r="J22" s="223"/>
      <c r="K22" s="223"/>
      <c r="L22" s="223"/>
      <c r="M22" s="223"/>
      <c r="N22" s="223"/>
      <c r="O22" s="223"/>
      <c r="P22" s="223"/>
    </row>
    <row r="23" spans="2:16" x14ac:dyDescent="0.2">
      <c r="B23" s="93" t="str">
        <f>IF(Contents!$B$8="English",C72,B72)</f>
        <v xml:space="preserve">Капитальные вложения, млн руб. без НДС  </v>
      </c>
      <c r="C23" s="191">
        <v>27980.09859258898</v>
      </c>
      <c r="D23" s="191">
        <v>20457.653580436639</v>
      </c>
      <c r="E23" s="191">
        <v>31243.693345708987</v>
      </c>
      <c r="F23" s="191">
        <v>26436.176936621341</v>
      </c>
      <c r="G23" s="191">
        <v>21620.52495292934</v>
      </c>
      <c r="I23" s="223"/>
      <c r="J23" s="223"/>
      <c r="K23" s="223"/>
      <c r="L23" s="223"/>
      <c r="M23" s="223"/>
      <c r="N23" s="223"/>
      <c r="O23" s="223"/>
      <c r="P23" s="223"/>
    </row>
    <row r="24" spans="2:16" x14ac:dyDescent="0.2">
      <c r="B24" s="93" t="str">
        <f>IF(Contents!$B$8="English",C73,B73)</f>
        <v xml:space="preserve">Ввод ОФ, млн руб.  </v>
      </c>
      <c r="C24" s="191">
        <v>23363.978924052251</v>
      </c>
      <c r="D24" s="191">
        <v>20392.57240545065</v>
      </c>
      <c r="E24" s="191">
        <v>31531.440862908741</v>
      </c>
      <c r="F24" s="191">
        <v>32966.793220822314</v>
      </c>
      <c r="G24" s="191">
        <v>22757.064744122883</v>
      </c>
      <c r="I24" s="223"/>
      <c r="J24" s="223"/>
      <c r="K24" s="223"/>
      <c r="L24" s="223"/>
      <c r="M24" s="223"/>
      <c r="N24" s="223"/>
      <c r="O24" s="223"/>
      <c r="P24" s="223"/>
    </row>
    <row r="25" spans="2:16" x14ac:dyDescent="0.2">
      <c r="B25" s="93" t="str">
        <f>IF(Contents!$B$8="English",C74,B74)</f>
        <v xml:space="preserve">Финансирование, млн руб. с НДС  </v>
      </c>
      <c r="C25" s="191">
        <v>32173.892064767089</v>
      </c>
      <c r="D25" s="191">
        <v>26336.488542712676</v>
      </c>
      <c r="E25" s="191">
        <v>29082.791306442989</v>
      </c>
      <c r="F25" s="191">
        <v>28951.172600552869</v>
      </c>
      <c r="G25" s="191">
        <v>30523.345864828247</v>
      </c>
      <c r="I25" s="223"/>
      <c r="J25" s="223"/>
      <c r="K25" s="223"/>
      <c r="L25" s="223"/>
      <c r="M25" s="223"/>
      <c r="N25" s="223"/>
      <c r="O25" s="223"/>
      <c r="P25" s="223"/>
    </row>
    <row r="26" spans="2:16" x14ac:dyDescent="0.2">
      <c r="B26" s="93" t="str">
        <f>IF(Contents!$B$8="English",C75,B75)</f>
        <v xml:space="preserve">Ввод мощности, МВА  </v>
      </c>
      <c r="C26" s="191">
        <v>691.94</v>
      </c>
      <c r="D26" s="191">
        <v>954.9369999999999</v>
      </c>
      <c r="E26" s="191">
        <v>757.72886292960777</v>
      </c>
      <c r="F26" s="191">
        <v>470.34929208799565</v>
      </c>
      <c r="G26" s="191">
        <v>155.96948334683037</v>
      </c>
      <c r="I26" s="223"/>
      <c r="J26" s="223"/>
      <c r="K26" s="223"/>
      <c r="L26" s="223"/>
      <c r="M26" s="223"/>
      <c r="N26" s="223"/>
      <c r="O26" s="223"/>
      <c r="P26" s="223"/>
    </row>
    <row r="27" spans="2:16" x14ac:dyDescent="0.2">
      <c r="B27" s="93" t="str">
        <f>IF(Contents!$B$8="English",C76,B76)</f>
        <v xml:space="preserve">Ввод линий электропередач, км  </v>
      </c>
      <c r="C27" s="191">
        <v>626.44430166666655</v>
      </c>
      <c r="D27" s="191">
        <v>490.34977266666658</v>
      </c>
      <c r="E27" s="191">
        <v>628.91150021178532</v>
      </c>
      <c r="F27" s="191">
        <v>745.4026854201245</v>
      </c>
      <c r="G27" s="191">
        <v>410.87384292105378</v>
      </c>
      <c r="I27" s="223"/>
      <c r="J27" s="223"/>
      <c r="K27" s="223"/>
      <c r="L27" s="223"/>
      <c r="M27" s="223"/>
      <c r="N27" s="223"/>
      <c r="O27" s="223"/>
      <c r="P27" s="223"/>
    </row>
    <row r="28" spans="2:16" x14ac:dyDescent="0.2">
      <c r="B28" s="93"/>
      <c r="C28" s="94"/>
      <c r="D28" s="94"/>
      <c r="E28" s="94"/>
      <c r="F28" s="221"/>
      <c r="I28" s="223"/>
      <c r="J28" s="223"/>
      <c r="K28" s="223"/>
      <c r="L28" s="223"/>
      <c r="M28" s="223"/>
      <c r="N28" s="223"/>
      <c r="O28" s="223"/>
      <c r="P28" s="223"/>
    </row>
    <row r="29" spans="2:16" s="194" customFormat="1" x14ac:dyDescent="0.2">
      <c r="B29" s="194" t="str">
        <f>IF(Contents!$B$8="English",C78,B78)</f>
        <v>Ленинградская область</v>
      </c>
      <c r="C29" s="188"/>
      <c r="D29" s="188"/>
      <c r="E29" s="188"/>
      <c r="F29" s="188"/>
      <c r="G29" s="31"/>
      <c r="I29" s="223"/>
      <c r="J29" s="223"/>
      <c r="K29" s="223"/>
      <c r="L29" s="223"/>
      <c r="M29" s="223"/>
      <c r="N29" s="223"/>
      <c r="O29" s="223"/>
      <c r="P29" s="223"/>
    </row>
    <row r="30" spans="2:16" x14ac:dyDescent="0.2">
      <c r="B30" s="219"/>
      <c r="C30" s="222">
        <v>2021</v>
      </c>
      <c r="D30" s="222">
        <v>2022</v>
      </c>
      <c r="E30" s="222">
        <v>2023</v>
      </c>
      <c r="F30" s="222">
        <v>2024</v>
      </c>
      <c r="G30" s="222">
        <v>2025</v>
      </c>
      <c r="I30" s="223"/>
      <c r="J30" s="223"/>
      <c r="K30" s="223"/>
      <c r="L30" s="223"/>
      <c r="M30" s="223"/>
      <c r="N30" s="223"/>
      <c r="O30" s="223"/>
      <c r="P30" s="223"/>
    </row>
    <row r="31" spans="2:16" x14ac:dyDescent="0.2">
      <c r="B31" s="93" t="str">
        <f>IF(Contents!$B$8="English",C80,B80)</f>
        <v xml:space="preserve">Капитальные вложения, млн руб. без НДС  </v>
      </c>
      <c r="C31" s="191">
        <v>6838.4270744664691</v>
      </c>
      <c r="D31" s="191">
        <v>5362.5471835284607</v>
      </c>
      <c r="E31" s="191">
        <v>10160.318032632256</v>
      </c>
      <c r="F31" s="191">
        <v>8589.8334404473608</v>
      </c>
      <c r="G31" s="191">
        <v>6762.5917421652239</v>
      </c>
      <c r="I31" s="223"/>
      <c r="J31" s="223"/>
      <c r="K31" s="223"/>
      <c r="L31" s="223"/>
      <c r="M31" s="223"/>
      <c r="N31" s="223"/>
      <c r="O31" s="223"/>
      <c r="P31" s="223"/>
    </row>
    <row r="32" spans="2:16" x14ac:dyDescent="0.2">
      <c r="B32" s="93" t="str">
        <f>IF(Contents!$B$8="English",C81,B81)</f>
        <v xml:space="preserve">Ввод ОФ, млн руб.  </v>
      </c>
      <c r="C32" s="191">
        <v>7043.9581570631053</v>
      </c>
      <c r="D32" s="191">
        <v>6003.2548893402309</v>
      </c>
      <c r="E32" s="191">
        <v>9151.5310896114006</v>
      </c>
      <c r="F32" s="191">
        <v>9222.980128165118</v>
      </c>
      <c r="G32" s="191">
        <v>7526.4742396559368</v>
      </c>
      <c r="I32" s="223"/>
      <c r="J32" s="223"/>
      <c r="K32" s="223"/>
      <c r="L32" s="223"/>
      <c r="M32" s="223"/>
      <c r="N32" s="223"/>
      <c r="O32" s="223"/>
      <c r="P32" s="223"/>
    </row>
    <row r="33" spans="2:17" x14ac:dyDescent="0.2">
      <c r="B33" s="93" t="str">
        <f>IF(Contents!$B$8="English",C82,B82)</f>
        <v xml:space="preserve">Финансирование, млн руб. с НДС  </v>
      </c>
      <c r="C33" s="191">
        <v>7767.3152104518476</v>
      </c>
      <c r="D33" s="191">
        <v>7961.2728449012402</v>
      </c>
      <c r="E33" s="191">
        <v>9891.4776576623135</v>
      </c>
      <c r="F33" s="191">
        <v>9323.3660461122654</v>
      </c>
      <c r="G33" s="191">
        <v>10253.914566249741</v>
      </c>
      <c r="I33" s="223"/>
      <c r="J33" s="223"/>
      <c r="K33" s="223"/>
      <c r="L33" s="223"/>
      <c r="M33" s="223"/>
      <c r="N33" s="223"/>
      <c r="O33" s="223"/>
      <c r="P33" s="223"/>
    </row>
    <row r="34" spans="2:17" x14ac:dyDescent="0.2">
      <c r="B34" s="93" t="str">
        <f>IF(Contents!$B$8="English",C83,B83)</f>
        <v xml:space="preserve">Ввод мощности, МВА  </v>
      </c>
      <c r="C34" s="191">
        <v>332.71788628631521</v>
      </c>
      <c r="D34" s="191">
        <v>390.06355121646862</v>
      </c>
      <c r="E34" s="191">
        <v>247.57273210433496</v>
      </c>
      <c r="F34" s="191">
        <v>222.44036449127023</v>
      </c>
      <c r="G34" s="191">
        <v>154.3875595855169</v>
      </c>
      <c r="I34" s="223"/>
      <c r="J34" s="223"/>
      <c r="K34" s="223"/>
      <c r="L34" s="223"/>
      <c r="M34" s="223"/>
      <c r="N34" s="223"/>
      <c r="O34" s="223"/>
      <c r="P34" s="223"/>
    </row>
    <row r="35" spans="2:17" x14ac:dyDescent="0.2">
      <c r="B35" s="93" t="str">
        <f>IF(Contents!$B$8="English",C84,B84)</f>
        <v xml:space="preserve">Ввод линий электропередач, км  </v>
      </c>
      <c r="C35" s="191">
        <v>1018.6995211819722</v>
      </c>
      <c r="D35" s="191">
        <v>1681.7813794197273</v>
      </c>
      <c r="E35" s="191">
        <v>1290.8038094191043</v>
      </c>
      <c r="F35" s="191">
        <v>944.346</v>
      </c>
      <c r="G35" s="191">
        <v>1098.59947324</v>
      </c>
      <c r="I35" s="223"/>
      <c r="J35" s="223"/>
      <c r="K35" s="223"/>
      <c r="L35" s="223"/>
      <c r="M35" s="223"/>
      <c r="N35" s="223"/>
      <c r="O35" s="223"/>
      <c r="P35" s="223"/>
    </row>
    <row r="36" spans="2:17" x14ac:dyDescent="0.2">
      <c r="B36" s="93"/>
      <c r="C36" s="191"/>
      <c r="D36" s="191"/>
      <c r="E36" s="191"/>
      <c r="F36" s="191"/>
      <c r="G36" s="191"/>
      <c r="I36" s="223"/>
      <c r="J36" s="223"/>
      <c r="K36" s="223"/>
      <c r="L36" s="223"/>
      <c r="M36" s="223"/>
      <c r="N36" s="223"/>
      <c r="O36" s="223"/>
      <c r="P36" s="223"/>
    </row>
    <row r="37" spans="2:17" x14ac:dyDescent="0.2">
      <c r="B37" s="490" t="str">
        <f>IF(Contents!$B$8="English","* excluding objects of trust management","* без объектов Д.У.")</f>
        <v>* без объектов Д.У.</v>
      </c>
      <c r="C37" s="490"/>
      <c r="D37" s="490"/>
      <c r="E37" s="490"/>
      <c r="F37" s="490"/>
      <c r="G37" s="191"/>
      <c r="J37" s="223"/>
      <c r="K37" s="223"/>
      <c r="L37" s="223"/>
      <c r="M37" s="223"/>
      <c r="N37" s="223"/>
      <c r="O37" s="223"/>
      <c r="P37" s="223"/>
      <c r="Q37" s="223"/>
    </row>
    <row r="38" spans="2:17" hidden="1" x14ac:dyDescent="0.2">
      <c r="B38" s="93"/>
      <c r="C38" s="211"/>
      <c r="D38" s="211"/>
      <c r="G38" s="92"/>
      <c r="J38" s="223"/>
      <c r="K38" s="223"/>
      <c r="L38" s="223"/>
      <c r="M38" s="223"/>
      <c r="N38" s="223"/>
      <c r="O38" s="223"/>
      <c r="P38" s="223"/>
      <c r="Q38" s="223"/>
    </row>
    <row r="39" spans="2:17" hidden="1" x14ac:dyDescent="0.2">
      <c r="B39" s="212" t="s">
        <v>76</v>
      </c>
      <c r="C39" s="94"/>
      <c r="D39" s="94"/>
      <c r="E39" s="94"/>
      <c r="F39" s="94"/>
      <c r="J39" s="223"/>
      <c r="K39" s="223"/>
      <c r="L39" s="223"/>
      <c r="M39" s="223"/>
      <c r="N39" s="223"/>
      <c r="O39" s="223"/>
      <c r="P39" s="223"/>
      <c r="Q39" s="223"/>
    </row>
    <row r="40" spans="2:17" ht="25.5" hidden="1" x14ac:dyDescent="0.2">
      <c r="B40" s="94"/>
      <c r="C40" s="188">
        <v>2017</v>
      </c>
      <c r="D40" s="188">
        <v>2018</v>
      </c>
      <c r="E40" s="188">
        <v>2019</v>
      </c>
      <c r="F40" s="188">
        <v>2020</v>
      </c>
      <c r="G40" s="121" t="s">
        <v>93</v>
      </c>
      <c r="J40" s="223"/>
      <c r="K40" s="223"/>
      <c r="L40" s="223"/>
      <c r="M40" s="223"/>
      <c r="N40" s="223"/>
      <c r="O40" s="223"/>
      <c r="P40" s="223"/>
      <c r="Q40" s="223"/>
    </row>
    <row r="41" spans="2:17" hidden="1" x14ac:dyDescent="0.2">
      <c r="B41" s="93" t="s">
        <v>77</v>
      </c>
      <c r="C41" s="213">
        <f>C42+C43+C44</f>
        <v>16533.112600469045</v>
      </c>
      <c r="D41" s="213">
        <f>D42+D43+D44</f>
        <v>20676.451792137177</v>
      </c>
      <c r="E41" s="213">
        <f>E42+E43+E44</f>
        <v>23379.246166805868</v>
      </c>
      <c r="F41" s="213">
        <f>F42+F43+F44</f>
        <v>21908.90632036531</v>
      </c>
      <c r="G41" s="214" t="e">
        <f>#REF!+C41+D41+E41+F41</f>
        <v>#REF!</v>
      </c>
      <c r="J41" s="223"/>
      <c r="K41" s="223"/>
      <c r="L41" s="223"/>
      <c r="M41" s="223"/>
      <c r="N41" s="223"/>
      <c r="O41" s="223"/>
      <c r="P41" s="223"/>
      <c r="Q41" s="223"/>
    </row>
    <row r="42" spans="2:17" hidden="1" x14ac:dyDescent="0.2">
      <c r="B42" s="93" t="s">
        <v>78</v>
      </c>
      <c r="C42" s="213">
        <v>13439.390904536844</v>
      </c>
      <c r="D42" s="213">
        <v>12478.882257924361</v>
      </c>
      <c r="E42" s="213">
        <v>14503.547117829248</v>
      </c>
      <c r="F42" s="213">
        <v>15544.584111337048</v>
      </c>
      <c r="G42" s="214" t="e">
        <f>#REF!+C42+D42+E42+F42</f>
        <v>#REF!</v>
      </c>
      <c r="J42" s="223"/>
      <c r="K42" s="223"/>
      <c r="L42" s="223"/>
      <c r="M42" s="223"/>
      <c r="N42" s="223"/>
      <c r="O42" s="223"/>
      <c r="P42" s="223"/>
      <c r="Q42" s="223"/>
    </row>
    <row r="43" spans="2:17" hidden="1" x14ac:dyDescent="0.2">
      <c r="B43" s="93" t="s">
        <v>79</v>
      </c>
      <c r="C43" s="213">
        <v>4.932852619785374E-14</v>
      </c>
      <c r="D43" s="213">
        <v>4837.3150408738356</v>
      </c>
      <c r="E43" s="213">
        <v>8824.4472035866183</v>
      </c>
      <c r="F43" s="213">
        <v>5479.9742528263741</v>
      </c>
      <c r="G43" s="214" t="e">
        <f>#REF!+C43+D43+E43+F43</f>
        <v>#REF!</v>
      </c>
      <c r="J43" s="223"/>
      <c r="K43" s="223"/>
      <c r="L43" s="223"/>
      <c r="M43" s="223"/>
      <c r="N43" s="223"/>
      <c r="O43" s="223"/>
      <c r="P43" s="223"/>
      <c r="Q43" s="223"/>
    </row>
    <row r="44" spans="2:17" hidden="1" x14ac:dyDescent="0.2">
      <c r="B44" s="93" t="s">
        <v>80</v>
      </c>
      <c r="C44" s="213">
        <f>3003.7216959322+90</f>
        <v>3093.7216959322</v>
      </c>
      <c r="D44" s="213">
        <f>2940.25449333898+420</f>
        <v>3360.25449333898</v>
      </c>
      <c r="E44" s="213">
        <v>51.25184539</v>
      </c>
      <c r="F44" s="213">
        <v>884.34795620188743</v>
      </c>
      <c r="G44" s="214" t="e">
        <f>#REF!+C44+D44+E44+F44</f>
        <v>#REF!</v>
      </c>
      <c r="J44" s="223"/>
      <c r="K44" s="223"/>
      <c r="L44" s="223"/>
      <c r="M44" s="223"/>
      <c r="N44" s="223"/>
      <c r="O44" s="223"/>
      <c r="P44" s="223"/>
      <c r="Q44" s="223"/>
    </row>
    <row r="45" spans="2:17" hidden="1" x14ac:dyDescent="0.2">
      <c r="B45" s="215" t="s">
        <v>81</v>
      </c>
      <c r="C45" s="216">
        <v>35</v>
      </c>
      <c r="D45" s="213">
        <v>452.53500000000003</v>
      </c>
      <c r="E45" s="216">
        <v>0</v>
      </c>
      <c r="F45" s="216">
        <v>0</v>
      </c>
      <c r="G45" s="214" t="e">
        <f>#REF!+C45+D45+E45+F45</f>
        <v>#REF!</v>
      </c>
      <c r="J45" s="223"/>
      <c r="K45" s="223"/>
      <c r="L45" s="223"/>
      <c r="M45" s="223"/>
      <c r="N45" s="223"/>
      <c r="O45" s="223"/>
      <c r="P45" s="223"/>
      <c r="Q45" s="223"/>
    </row>
    <row r="46" spans="2:17" hidden="1" x14ac:dyDescent="0.2">
      <c r="B46" s="215" t="s">
        <v>82</v>
      </c>
      <c r="C46" s="213">
        <v>0</v>
      </c>
      <c r="D46" s="213">
        <v>0</v>
      </c>
      <c r="E46" s="213">
        <v>0</v>
      </c>
      <c r="F46" s="213"/>
      <c r="G46" s="214" t="e">
        <f>#REF!+C46+D46+E46+F46</f>
        <v>#REF!</v>
      </c>
      <c r="J46" s="223"/>
      <c r="K46" s="223"/>
      <c r="L46" s="223"/>
      <c r="M46" s="223"/>
      <c r="N46" s="223"/>
      <c r="O46" s="223"/>
      <c r="P46" s="223"/>
      <c r="Q46" s="223"/>
    </row>
    <row r="47" spans="2:17" hidden="1" x14ac:dyDescent="0.2">
      <c r="B47" s="215" t="s">
        <v>83</v>
      </c>
      <c r="C47" s="216">
        <v>0</v>
      </c>
      <c r="D47" s="216">
        <v>0</v>
      </c>
      <c r="E47" s="216">
        <v>0</v>
      </c>
      <c r="F47" s="216"/>
      <c r="G47" s="214" t="e">
        <f>#REF!+C47+D47+E47+F47</f>
        <v>#REF!</v>
      </c>
      <c r="J47" s="223"/>
      <c r="K47" s="223"/>
      <c r="L47" s="223"/>
      <c r="M47" s="223"/>
      <c r="N47" s="223"/>
      <c r="O47" s="223"/>
      <c r="P47" s="223"/>
      <c r="Q47" s="223"/>
    </row>
    <row r="48" spans="2:17" hidden="1" x14ac:dyDescent="0.2">
      <c r="B48" s="215" t="s">
        <v>75</v>
      </c>
      <c r="C48" s="213">
        <f>C44-C45</f>
        <v>3058.7216959322</v>
      </c>
      <c r="D48" s="213">
        <f>D44-D45</f>
        <v>2907.7194933389801</v>
      </c>
      <c r="E48" s="213">
        <v>51.25184539</v>
      </c>
      <c r="F48" s="213">
        <f>F44-F45</f>
        <v>884.34795620188743</v>
      </c>
      <c r="G48" s="214" t="e">
        <f>#REF!+C48+D48+E48+F48</f>
        <v>#REF!</v>
      </c>
      <c r="J48" s="223"/>
      <c r="K48" s="223"/>
      <c r="L48" s="223"/>
      <c r="M48" s="223"/>
      <c r="N48" s="223"/>
      <c r="O48" s="223"/>
      <c r="P48" s="223"/>
      <c r="Q48" s="223"/>
    </row>
    <row r="49" spans="2:17" hidden="1" x14ac:dyDescent="0.2">
      <c r="B49" s="93" t="s">
        <v>84</v>
      </c>
      <c r="C49" s="213">
        <v>5854.5121223430724</v>
      </c>
      <c r="D49" s="213">
        <v>4516.323059637768</v>
      </c>
      <c r="E49" s="213">
        <v>4401.6082688012166</v>
      </c>
      <c r="F49" s="213">
        <v>3625.1153358374877</v>
      </c>
      <c r="G49" s="214" t="e">
        <f>#REF!+C49+D49+E49+F49</f>
        <v>#REF!</v>
      </c>
      <c r="J49" s="223"/>
      <c r="K49" s="223"/>
      <c r="L49" s="223"/>
      <c r="M49" s="223"/>
      <c r="N49" s="223"/>
      <c r="O49" s="223"/>
      <c r="P49" s="223"/>
      <c r="Q49" s="223"/>
    </row>
    <row r="50" spans="2:17" hidden="1" x14ac:dyDescent="0.2">
      <c r="B50" s="93" t="s">
        <v>85</v>
      </c>
      <c r="C50" s="213">
        <f>C51+C52+C53</f>
        <v>12679.445806996308</v>
      </c>
      <c r="D50" s="213">
        <f>D51+D52+D53</f>
        <v>8070.2364484266182</v>
      </c>
      <c r="E50" s="213">
        <f>E51+E52+E53</f>
        <v>2947.1913928833992</v>
      </c>
      <c r="F50" s="213"/>
      <c r="G50" s="214" t="e">
        <f>#REF!+C50+D50+E50+F50</f>
        <v>#REF!</v>
      </c>
      <c r="J50" s="223"/>
      <c r="K50" s="223"/>
      <c r="L50" s="223"/>
      <c r="M50" s="223"/>
      <c r="N50" s="223"/>
      <c r="O50" s="223"/>
      <c r="P50" s="223"/>
      <c r="Q50" s="223"/>
    </row>
    <row r="51" spans="2:17" hidden="1" x14ac:dyDescent="0.2">
      <c r="B51" s="93" t="s">
        <v>86</v>
      </c>
      <c r="C51" s="213">
        <v>4733.1160379999992</v>
      </c>
      <c r="D51" s="213">
        <v>5532.8292450000017</v>
      </c>
      <c r="E51" s="213">
        <v>1443.575188</v>
      </c>
      <c r="F51" s="213">
        <v>0</v>
      </c>
      <c r="G51" s="214" t="e">
        <f>#REF!+C51+D51+E51+F51</f>
        <v>#REF!</v>
      </c>
      <c r="J51" s="223"/>
      <c r="K51" s="223"/>
      <c r="L51" s="223"/>
      <c r="M51" s="223"/>
      <c r="N51" s="223"/>
      <c r="O51" s="223"/>
      <c r="P51" s="223"/>
      <c r="Q51" s="223"/>
    </row>
    <row r="52" spans="2:17" hidden="1" x14ac:dyDescent="0.2">
      <c r="B52" s="93" t="s">
        <v>87</v>
      </c>
      <c r="C52" s="213">
        <v>7946.3297789963081</v>
      </c>
      <c r="D52" s="213">
        <v>2537.4072034266169</v>
      </c>
      <c r="E52" s="213">
        <v>1503.6162048833992</v>
      </c>
      <c r="F52" s="213">
        <v>884.34795620188743</v>
      </c>
      <c r="G52" s="214" t="e">
        <f>#REF!+C52+D52+E52+F52</f>
        <v>#REF!</v>
      </c>
      <c r="J52" s="223"/>
      <c r="K52" s="223"/>
      <c r="L52" s="223"/>
      <c r="M52" s="223"/>
      <c r="N52" s="223"/>
      <c r="O52" s="223"/>
      <c r="P52" s="223"/>
      <c r="Q52" s="223"/>
    </row>
    <row r="53" spans="2:17" hidden="1" x14ac:dyDescent="0.2">
      <c r="B53" s="93" t="s">
        <v>88</v>
      </c>
      <c r="C53" s="213">
        <v>-9.999999991123331E-6</v>
      </c>
      <c r="D53" s="213">
        <v>0</v>
      </c>
      <c r="E53" s="213">
        <v>0</v>
      </c>
      <c r="F53" s="213">
        <v>0</v>
      </c>
      <c r="G53" s="214" t="e">
        <f>#REF!+C53+D53+E53+F53</f>
        <v>#REF!</v>
      </c>
      <c r="J53" s="223"/>
      <c r="K53" s="223"/>
      <c r="L53" s="223"/>
      <c r="M53" s="223"/>
      <c r="N53" s="223"/>
      <c r="O53" s="223"/>
      <c r="P53" s="223"/>
      <c r="Q53" s="223"/>
    </row>
    <row r="54" spans="2:17" hidden="1" x14ac:dyDescent="0.2">
      <c r="B54" s="217" t="s">
        <v>89</v>
      </c>
      <c r="C54" s="218">
        <f>C41+C49+C50</f>
        <v>35067.070529808421</v>
      </c>
      <c r="D54" s="218">
        <f>D41+D49+D50</f>
        <v>33263.011300201564</v>
      </c>
      <c r="E54" s="218">
        <f>E41+E49+E50</f>
        <v>30728.045828490485</v>
      </c>
      <c r="F54" s="218">
        <f>F41+F49+F50</f>
        <v>25534.021656202796</v>
      </c>
      <c r="G54" s="214" t="e">
        <f>#REF!+C54+D54+E54+F54</f>
        <v>#REF!</v>
      </c>
      <c r="J54" s="223"/>
      <c r="K54" s="223"/>
      <c r="L54" s="223"/>
      <c r="M54" s="223"/>
      <c r="N54" s="223"/>
      <c r="O54" s="223"/>
      <c r="P54" s="223"/>
      <c r="Q54" s="223"/>
    </row>
    <row r="55" spans="2:17" hidden="1" x14ac:dyDescent="0.2">
      <c r="B55" s="93"/>
      <c r="C55" s="211"/>
      <c r="D55" s="211"/>
      <c r="E55" s="211"/>
      <c r="F55" s="211"/>
      <c r="G55" s="211"/>
      <c r="J55" s="223"/>
      <c r="K55" s="223"/>
      <c r="L55" s="223"/>
      <c r="M55" s="223"/>
      <c r="N55" s="223"/>
      <c r="O55" s="223"/>
      <c r="P55" s="223"/>
      <c r="Q55" s="223"/>
    </row>
    <row r="56" spans="2:17" hidden="1" x14ac:dyDescent="0.2">
      <c r="J56" s="223"/>
      <c r="K56" s="223"/>
      <c r="L56" s="223"/>
      <c r="M56" s="223"/>
      <c r="N56" s="223"/>
      <c r="O56" s="223"/>
      <c r="P56" s="223"/>
      <c r="Q56" s="223"/>
    </row>
    <row r="57" spans="2:17" hidden="1" x14ac:dyDescent="0.2">
      <c r="J57" s="223"/>
      <c r="K57" s="223"/>
      <c r="L57" s="223"/>
      <c r="M57" s="223"/>
      <c r="N57" s="223"/>
      <c r="O57" s="223"/>
      <c r="P57" s="223"/>
      <c r="Q57" s="223"/>
    </row>
    <row r="58" spans="2:17" s="284" customFormat="1" x14ac:dyDescent="0.2">
      <c r="B58" s="31"/>
      <c r="C58" s="31"/>
      <c r="D58" s="31"/>
      <c r="E58" s="31"/>
      <c r="F58" s="31"/>
      <c r="J58" s="223"/>
      <c r="K58" s="223"/>
      <c r="L58" s="223"/>
      <c r="M58" s="223"/>
      <c r="N58" s="223"/>
      <c r="O58" s="223"/>
      <c r="P58" s="223"/>
      <c r="Q58" s="223"/>
    </row>
    <row r="59" spans="2:17" s="51" customFormat="1" x14ac:dyDescent="0.2">
      <c r="B59" s="145" t="s">
        <v>360</v>
      </c>
      <c r="C59" s="51" t="s">
        <v>361</v>
      </c>
      <c r="E59" s="31"/>
      <c r="F59" s="31"/>
      <c r="J59" s="223"/>
      <c r="K59" s="223"/>
      <c r="L59" s="223"/>
      <c r="M59" s="223"/>
      <c r="N59" s="223"/>
      <c r="O59" s="223"/>
      <c r="P59" s="223"/>
      <c r="Q59" s="223"/>
    </row>
    <row r="60" spans="2:17" s="51" customFormat="1" x14ac:dyDescent="0.2">
      <c r="B60" s="226"/>
      <c r="E60" s="31"/>
      <c r="F60" s="31"/>
      <c r="J60" s="223"/>
      <c r="K60" s="223"/>
      <c r="L60" s="223"/>
      <c r="M60" s="223"/>
      <c r="N60" s="223"/>
      <c r="O60" s="223"/>
      <c r="P60" s="223"/>
      <c r="Q60" s="223"/>
    </row>
    <row r="61" spans="2:17" s="51" customFormat="1" x14ac:dyDescent="0.2">
      <c r="B61" s="224" t="s">
        <v>221</v>
      </c>
      <c r="C61" s="51" t="s">
        <v>222</v>
      </c>
      <c r="E61" s="31"/>
      <c r="F61" s="31"/>
      <c r="J61" s="223"/>
      <c r="K61" s="223"/>
      <c r="L61" s="223"/>
      <c r="M61" s="223"/>
      <c r="N61" s="223"/>
      <c r="O61" s="223"/>
      <c r="P61" s="223"/>
      <c r="Q61" s="223"/>
    </row>
    <row r="62" spans="2:17" s="51" customFormat="1" x14ac:dyDescent="0.2">
      <c r="B62" s="224" t="s">
        <v>219</v>
      </c>
      <c r="C62" s="51" t="s">
        <v>291</v>
      </c>
      <c r="E62" s="31"/>
      <c r="F62" s="31"/>
      <c r="J62" s="223"/>
      <c r="K62" s="223"/>
      <c r="L62" s="223"/>
      <c r="M62" s="223"/>
      <c r="N62" s="223"/>
      <c r="O62" s="223"/>
      <c r="P62" s="223"/>
      <c r="Q62" s="223"/>
    </row>
    <row r="63" spans="2:17" s="51" customFormat="1" x14ac:dyDescent="0.2">
      <c r="B63" s="224" t="s">
        <v>220</v>
      </c>
      <c r="C63" s="51" t="s">
        <v>292</v>
      </c>
      <c r="E63" s="31"/>
      <c r="F63" s="31"/>
      <c r="J63" s="223"/>
      <c r="K63" s="223"/>
      <c r="L63" s="223"/>
      <c r="M63" s="223"/>
      <c r="N63" s="223"/>
      <c r="O63" s="223"/>
      <c r="P63" s="223"/>
      <c r="Q63" s="223"/>
    </row>
    <row r="64" spans="2:17" s="51" customFormat="1" x14ac:dyDescent="0.2">
      <c r="B64" s="224" t="s">
        <v>362</v>
      </c>
      <c r="C64" s="51" t="s">
        <v>188</v>
      </c>
      <c r="E64" s="31"/>
      <c r="F64" s="31"/>
      <c r="J64" s="223"/>
      <c r="K64" s="223"/>
      <c r="L64" s="223"/>
      <c r="M64" s="223"/>
      <c r="N64" s="223"/>
      <c r="O64" s="223"/>
      <c r="P64" s="223"/>
      <c r="Q64" s="223"/>
    </row>
    <row r="65" spans="2:17" s="51" customFormat="1" x14ac:dyDescent="0.2">
      <c r="B65" s="224" t="s">
        <v>363</v>
      </c>
      <c r="C65" s="51" t="s">
        <v>366</v>
      </c>
      <c r="E65" s="358"/>
      <c r="F65" s="31"/>
      <c r="J65" s="223"/>
      <c r="K65" s="223"/>
      <c r="L65" s="223"/>
      <c r="M65" s="223"/>
      <c r="N65" s="223"/>
      <c r="O65" s="223"/>
      <c r="P65" s="223"/>
      <c r="Q65" s="223"/>
    </row>
    <row r="66" spans="2:17" s="51" customFormat="1" x14ac:dyDescent="0.2">
      <c r="B66" s="224"/>
      <c r="E66" s="358"/>
      <c r="F66" s="31"/>
      <c r="J66" s="223"/>
      <c r="K66" s="223"/>
      <c r="L66" s="223"/>
      <c r="M66" s="223"/>
      <c r="N66" s="223"/>
      <c r="O66" s="223"/>
      <c r="P66" s="223"/>
      <c r="Q66" s="223"/>
    </row>
    <row r="67" spans="2:17" s="51" customFormat="1" x14ac:dyDescent="0.2">
      <c r="B67" s="224"/>
      <c r="E67" s="31"/>
      <c r="F67" s="31"/>
      <c r="J67" s="223"/>
      <c r="K67" s="223"/>
      <c r="L67" s="223"/>
      <c r="M67" s="223"/>
      <c r="N67" s="223"/>
      <c r="O67" s="223"/>
      <c r="P67" s="223"/>
      <c r="Q67" s="223"/>
    </row>
    <row r="68" spans="2:17" s="51" customFormat="1" x14ac:dyDescent="0.2">
      <c r="B68" s="146" t="s">
        <v>364</v>
      </c>
      <c r="C68" s="51" t="s">
        <v>365</v>
      </c>
      <c r="E68" s="31"/>
      <c r="F68" s="31"/>
      <c r="J68" s="223"/>
      <c r="K68" s="223"/>
      <c r="L68" s="223"/>
      <c r="M68" s="223"/>
      <c r="N68" s="223"/>
      <c r="O68" s="223"/>
      <c r="P68" s="223"/>
      <c r="Q68" s="223"/>
    </row>
    <row r="69" spans="2:17" s="51" customFormat="1" x14ac:dyDescent="0.2">
      <c r="B69" s="145"/>
      <c r="E69" s="31"/>
      <c r="F69" s="31"/>
    </row>
    <row r="70" spans="2:17" s="51" customFormat="1" x14ac:dyDescent="0.2">
      <c r="B70" s="145" t="s">
        <v>397</v>
      </c>
      <c r="C70" s="51" t="s">
        <v>183</v>
      </c>
      <c r="E70" s="31"/>
      <c r="F70" s="31"/>
    </row>
    <row r="71" spans="2:17" s="51" customFormat="1" x14ac:dyDescent="0.2">
      <c r="B71" s="226"/>
      <c r="E71" s="31"/>
      <c r="F71" s="31"/>
    </row>
    <row r="72" spans="2:17" s="51" customFormat="1" x14ac:dyDescent="0.2">
      <c r="B72" s="224" t="s">
        <v>221</v>
      </c>
      <c r="C72" s="51" t="s">
        <v>293</v>
      </c>
      <c r="E72" s="31"/>
      <c r="F72" s="31"/>
    </row>
    <row r="73" spans="2:17" s="51" customFormat="1" x14ac:dyDescent="0.2">
      <c r="B73" s="224" t="s">
        <v>219</v>
      </c>
      <c r="C73" s="51" t="s">
        <v>291</v>
      </c>
      <c r="E73" s="31"/>
      <c r="F73" s="31"/>
    </row>
    <row r="74" spans="2:17" s="51" customFormat="1" x14ac:dyDescent="0.2">
      <c r="B74" s="224" t="s">
        <v>220</v>
      </c>
      <c r="C74" s="51" t="s">
        <v>292</v>
      </c>
      <c r="E74" s="31"/>
      <c r="F74" s="31"/>
    </row>
    <row r="75" spans="2:17" s="51" customFormat="1" x14ac:dyDescent="0.2">
      <c r="B75" s="224" t="s">
        <v>362</v>
      </c>
      <c r="C75" s="51" t="s">
        <v>188</v>
      </c>
      <c r="E75" s="31"/>
      <c r="F75" s="31"/>
    </row>
    <row r="76" spans="2:17" s="51" customFormat="1" x14ac:dyDescent="0.2">
      <c r="B76" s="224" t="s">
        <v>363</v>
      </c>
      <c r="C76" s="51" t="s">
        <v>366</v>
      </c>
      <c r="E76" s="31"/>
      <c r="F76" s="31"/>
    </row>
    <row r="77" spans="2:17" s="51" customFormat="1" x14ac:dyDescent="0.2">
      <c r="B77" s="224"/>
      <c r="E77" s="31"/>
      <c r="F77" s="31"/>
    </row>
    <row r="78" spans="2:17" s="51" customFormat="1" x14ac:dyDescent="0.2">
      <c r="B78" s="225" t="s">
        <v>19</v>
      </c>
      <c r="C78" s="51" t="s">
        <v>184</v>
      </c>
      <c r="E78" s="31"/>
      <c r="F78" s="31"/>
    </row>
    <row r="79" spans="2:17" s="51" customFormat="1" x14ac:dyDescent="0.2">
      <c r="B79" s="226"/>
      <c r="E79" s="31"/>
      <c r="F79" s="31"/>
    </row>
    <row r="80" spans="2:17" s="51" customFormat="1" x14ac:dyDescent="0.2">
      <c r="B80" s="224" t="s">
        <v>221</v>
      </c>
      <c r="C80" s="51" t="s">
        <v>293</v>
      </c>
      <c r="E80" s="31"/>
      <c r="F80" s="31"/>
    </row>
    <row r="81" spans="2:6" s="51" customFormat="1" x14ac:dyDescent="0.2">
      <c r="B81" s="224" t="s">
        <v>219</v>
      </c>
      <c r="C81" s="51" t="s">
        <v>291</v>
      </c>
      <c r="E81" s="31"/>
      <c r="F81" s="31"/>
    </row>
    <row r="82" spans="2:6" s="51" customFormat="1" x14ac:dyDescent="0.2">
      <c r="B82" s="224" t="s">
        <v>220</v>
      </c>
      <c r="C82" s="51" t="s">
        <v>292</v>
      </c>
      <c r="E82" s="31"/>
      <c r="F82" s="31"/>
    </row>
    <row r="83" spans="2:6" s="51" customFormat="1" x14ac:dyDescent="0.2">
      <c r="B83" s="224" t="s">
        <v>362</v>
      </c>
      <c r="C83" s="51" t="s">
        <v>188</v>
      </c>
      <c r="E83" s="31"/>
      <c r="F83" s="31"/>
    </row>
    <row r="84" spans="2:6" s="51" customFormat="1" x14ac:dyDescent="0.2">
      <c r="B84" s="224" t="s">
        <v>363</v>
      </c>
      <c r="C84" s="51" t="s">
        <v>366</v>
      </c>
      <c r="E84" s="31"/>
      <c r="F84" s="31"/>
    </row>
    <row r="85" spans="2:6" s="51" customFormat="1" x14ac:dyDescent="0.2">
      <c r="B85" s="31"/>
      <c r="C85" s="31"/>
      <c r="D85" s="31"/>
      <c r="E85" s="31"/>
      <c r="F85" s="31"/>
    </row>
    <row r="86" spans="2:6" s="51" customFormat="1" x14ac:dyDescent="0.2">
      <c r="B86" s="31"/>
      <c r="C86" s="31"/>
      <c r="D86" s="31"/>
      <c r="E86" s="31"/>
      <c r="F86" s="31"/>
    </row>
    <row r="87" spans="2:6" s="51" customFormat="1" x14ac:dyDescent="0.2">
      <c r="B87" s="31"/>
      <c r="C87" s="31"/>
      <c r="D87" s="31"/>
      <c r="E87" s="31"/>
      <c r="F87" s="31"/>
    </row>
    <row r="88" spans="2:6" s="51" customFormat="1" x14ac:dyDescent="0.2">
      <c r="B88" s="31"/>
      <c r="C88" s="31"/>
      <c r="D88" s="31"/>
      <c r="E88" s="31"/>
      <c r="F88" s="31"/>
    </row>
    <row r="89" spans="2:6" s="51" customFormat="1" x14ac:dyDescent="0.2"/>
    <row r="90" spans="2:6" s="51" customFormat="1" x14ac:dyDescent="0.2"/>
  </sheetData>
  <mergeCells count="4">
    <mergeCell ref="M5:N5"/>
    <mergeCell ref="B7:G7"/>
    <mergeCell ref="B8:G8"/>
    <mergeCell ref="B37:F37"/>
  </mergeCells>
  <hyperlinks>
    <hyperlink ref="C5" location="Contents!A1" display="Contents!A1"/>
    <hyperlink ref="G5" location="'RAB '!A1" display="'RAB '!A1"/>
    <hyperlink ref="G6" location="'Investment program'!A1" display="'Investment program'!A1"/>
  </hyperlinks>
  <pageMargins left="0.70866141732283472" right="0.70866141732283472" top="0.74803149606299213" bottom="0.74803149606299213" header="0.31496062992125984" footer="0.31496062992125984"/>
  <pageSetup paperSize="9" scale="98" orientation="landscape" r:id="rId1"/>
  <colBreaks count="1" manualBreakCount="1">
    <brk id="7" max="37"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61"/>
  <sheetViews>
    <sheetView view="pageBreakPreview" topLeftCell="B4" zoomScale="80" zoomScaleNormal="80" zoomScaleSheetLayoutView="80" workbookViewId="0">
      <selection activeCell="L55" sqref="L55"/>
    </sheetView>
  </sheetViews>
  <sheetFormatPr defaultRowHeight="15" x14ac:dyDescent="0.25"/>
  <cols>
    <col min="1" max="1" width="0" style="228" hidden="1" customWidth="1"/>
    <col min="2" max="2" width="2.85546875" style="228" customWidth="1"/>
    <col min="3" max="3" width="39.140625" style="228" customWidth="1"/>
    <col min="4" max="4" width="10.140625" style="228" customWidth="1"/>
    <col min="5" max="6" width="7.85546875" style="228" customWidth="1"/>
    <col min="7" max="7" width="8.5703125" style="228" customWidth="1"/>
    <col min="8" max="8" width="8.5703125" style="228" customWidth="1" collapsed="1"/>
    <col min="9" max="9" width="8.5703125" style="228" customWidth="1"/>
    <col min="10" max="10" width="8.140625" style="228" customWidth="1"/>
    <col min="11" max="16" width="8.5703125" style="228" customWidth="1"/>
    <col min="17" max="17" width="8.5703125" style="228" customWidth="1" collapsed="1"/>
    <col min="18" max="19" width="8.5703125" style="228" customWidth="1"/>
    <col min="20" max="20" width="10.42578125" style="228" bestFit="1" customWidth="1"/>
    <col min="21" max="21" width="10.42578125" style="228" customWidth="1"/>
    <col min="22" max="22" width="4.140625" style="228" customWidth="1"/>
    <col min="23" max="23" width="8.5703125" style="228" customWidth="1"/>
    <col min="24" max="24" width="8.7109375" style="228" customWidth="1"/>
    <col min="25" max="25" width="8.5703125" style="228" customWidth="1"/>
    <col min="26" max="26" width="8.5703125" style="228" customWidth="1" collapsed="1"/>
    <col min="27" max="27" width="8.5703125" style="228" customWidth="1"/>
    <col min="28" max="28" width="8.7109375" style="228" bestFit="1" customWidth="1"/>
    <col min="29" max="29" width="9.28515625" style="228" bestFit="1" customWidth="1"/>
    <col min="30" max="30" width="9.28515625" style="228" customWidth="1"/>
    <col min="31" max="31" width="10.42578125" style="228" customWidth="1"/>
    <col min="32" max="32" width="3.42578125" style="247" customWidth="1"/>
    <col min="33" max="33" width="11.85546875" style="247" customWidth="1"/>
    <col min="34" max="34" width="41" style="247" customWidth="1"/>
    <col min="35" max="35" width="9.7109375" style="247" customWidth="1"/>
    <col min="36" max="37" width="0" style="247" hidden="1" customWidth="1"/>
    <col min="38" max="43" width="8.5703125" style="247" customWidth="1"/>
    <col min="44" max="46" width="0" style="247" hidden="1" customWidth="1"/>
    <col min="47" max="52" width="8.5703125" style="247" customWidth="1"/>
    <col min="53" max="55" width="0" style="247" hidden="1" customWidth="1"/>
    <col min="56" max="60" width="8.5703125" style="247" customWidth="1"/>
    <col min="61" max="61" width="8.7109375" style="247" customWidth="1"/>
    <col min="62" max="62" width="9.7109375" style="247" customWidth="1"/>
    <col min="63" max="263" width="9.140625" style="247"/>
    <col min="264" max="264" width="0" style="247" hidden="1" customWidth="1"/>
    <col min="265" max="265" width="41" style="247" customWidth="1"/>
    <col min="266" max="266" width="11" style="247" customWidth="1"/>
    <col min="267" max="272" width="10.140625" style="247" customWidth="1"/>
    <col min="273" max="278" width="9.85546875" style="247" customWidth="1"/>
    <col min="279" max="282" width="9.7109375" style="247" customWidth="1"/>
    <col min="283" max="284" width="9.140625" style="247" customWidth="1"/>
    <col min="285" max="519" width="9.140625" style="247"/>
    <col min="520" max="520" width="0" style="247" hidden="1" customWidth="1"/>
    <col min="521" max="521" width="41" style="247" customWidth="1"/>
    <col min="522" max="522" width="11" style="247" customWidth="1"/>
    <col min="523" max="528" width="10.140625" style="247" customWidth="1"/>
    <col min="529" max="534" width="9.85546875" style="247" customWidth="1"/>
    <col min="535" max="538" width="9.7109375" style="247" customWidth="1"/>
    <col min="539" max="540" width="9.140625" style="247" customWidth="1"/>
    <col min="541" max="775" width="9.140625" style="247"/>
    <col min="776" max="776" width="0" style="247" hidden="1" customWidth="1"/>
    <col min="777" max="777" width="41" style="247" customWidth="1"/>
    <col min="778" max="778" width="11" style="247" customWidth="1"/>
    <col min="779" max="784" width="10.140625" style="247" customWidth="1"/>
    <col min="785" max="790" width="9.85546875" style="247" customWidth="1"/>
    <col min="791" max="794" width="9.7109375" style="247" customWidth="1"/>
    <col min="795" max="796" width="9.140625" style="247" customWidth="1"/>
    <col min="797" max="1031" width="9.140625" style="247"/>
    <col min="1032" max="1032" width="0" style="247" hidden="1" customWidth="1"/>
    <col min="1033" max="1033" width="41" style="247" customWidth="1"/>
    <col min="1034" max="1034" width="11" style="247" customWidth="1"/>
    <col min="1035" max="1040" width="10.140625" style="247" customWidth="1"/>
    <col min="1041" max="1046" width="9.85546875" style="247" customWidth="1"/>
    <col min="1047" max="1050" width="9.7109375" style="247" customWidth="1"/>
    <col min="1051" max="1052" width="9.140625" style="247" customWidth="1"/>
    <col min="1053" max="1287" width="9.140625" style="247"/>
    <col min="1288" max="1288" width="0" style="247" hidden="1" customWidth="1"/>
    <col min="1289" max="1289" width="41" style="247" customWidth="1"/>
    <col min="1290" max="1290" width="11" style="247" customWidth="1"/>
    <col min="1291" max="1296" width="10.140625" style="247" customWidth="1"/>
    <col min="1297" max="1302" width="9.85546875" style="247" customWidth="1"/>
    <col min="1303" max="1306" width="9.7109375" style="247" customWidth="1"/>
    <col min="1307" max="1308" width="9.140625" style="247" customWidth="1"/>
    <col min="1309" max="1543" width="9.140625" style="247"/>
    <col min="1544" max="1544" width="0" style="247" hidden="1" customWidth="1"/>
    <col min="1545" max="1545" width="41" style="247" customWidth="1"/>
    <col min="1546" max="1546" width="11" style="247" customWidth="1"/>
    <col min="1547" max="1552" width="10.140625" style="247" customWidth="1"/>
    <col min="1553" max="1558" width="9.85546875" style="247" customWidth="1"/>
    <col min="1559" max="1562" width="9.7109375" style="247" customWidth="1"/>
    <col min="1563" max="1564" width="9.140625" style="247" customWidth="1"/>
    <col min="1565" max="1799" width="9.140625" style="247"/>
    <col min="1800" max="1800" width="0" style="247" hidden="1" customWidth="1"/>
    <col min="1801" max="1801" width="41" style="247" customWidth="1"/>
    <col min="1802" max="1802" width="11" style="247" customWidth="1"/>
    <col min="1803" max="1808" width="10.140625" style="247" customWidth="1"/>
    <col min="1809" max="1814" width="9.85546875" style="247" customWidth="1"/>
    <col min="1815" max="1818" width="9.7109375" style="247" customWidth="1"/>
    <col min="1819" max="1820" width="9.140625" style="247" customWidth="1"/>
    <col min="1821" max="2055" width="9.140625" style="247"/>
    <col min="2056" max="2056" width="0" style="247" hidden="1" customWidth="1"/>
    <col min="2057" max="2057" width="41" style="247" customWidth="1"/>
    <col min="2058" max="2058" width="11" style="247" customWidth="1"/>
    <col min="2059" max="2064" width="10.140625" style="247" customWidth="1"/>
    <col min="2065" max="2070" width="9.85546875" style="247" customWidth="1"/>
    <col min="2071" max="2074" width="9.7109375" style="247" customWidth="1"/>
    <col min="2075" max="2076" width="9.140625" style="247" customWidth="1"/>
    <col min="2077" max="2311" width="9.140625" style="247"/>
    <col min="2312" max="2312" width="0" style="247" hidden="1" customWidth="1"/>
    <col min="2313" max="2313" width="41" style="247" customWidth="1"/>
    <col min="2314" max="2314" width="11" style="247" customWidth="1"/>
    <col min="2315" max="2320" width="10.140625" style="247" customWidth="1"/>
    <col min="2321" max="2326" width="9.85546875" style="247" customWidth="1"/>
    <col min="2327" max="2330" width="9.7109375" style="247" customWidth="1"/>
    <col min="2331" max="2332" width="9.140625" style="247" customWidth="1"/>
    <col min="2333" max="2567" width="9.140625" style="247"/>
    <col min="2568" max="2568" width="0" style="247" hidden="1" customWidth="1"/>
    <col min="2569" max="2569" width="41" style="247" customWidth="1"/>
    <col min="2570" max="2570" width="11" style="247" customWidth="1"/>
    <col min="2571" max="2576" width="10.140625" style="247" customWidth="1"/>
    <col min="2577" max="2582" width="9.85546875" style="247" customWidth="1"/>
    <col min="2583" max="2586" width="9.7109375" style="247" customWidth="1"/>
    <col min="2587" max="2588" width="9.140625" style="247" customWidth="1"/>
    <col min="2589" max="2823" width="9.140625" style="247"/>
    <col min="2824" max="2824" width="0" style="247" hidden="1" customWidth="1"/>
    <col min="2825" max="2825" width="41" style="247" customWidth="1"/>
    <col min="2826" max="2826" width="11" style="247" customWidth="1"/>
    <col min="2827" max="2832" width="10.140625" style="247" customWidth="1"/>
    <col min="2833" max="2838" width="9.85546875" style="247" customWidth="1"/>
    <col min="2839" max="2842" width="9.7109375" style="247" customWidth="1"/>
    <col min="2843" max="2844" width="9.140625" style="247" customWidth="1"/>
    <col min="2845" max="3079" width="9.140625" style="247"/>
    <col min="3080" max="3080" width="0" style="247" hidden="1" customWidth="1"/>
    <col min="3081" max="3081" width="41" style="247" customWidth="1"/>
    <col min="3082" max="3082" width="11" style="247" customWidth="1"/>
    <col min="3083" max="3088" width="10.140625" style="247" customWidth="1"/>
    <col min="3089" max="3094" width="9.85546875" style="247" customWidth="1"/>
    <col min="3095" max="3098" width="9.7109375" style="247" customWidth="1"/>
    <col min="3099" max="3100" width="9.140625" style="247" customWidth="1"/>
    <col min="3101" max="3335" width="9.140625" style="247"/>
    <col min="3336" max="3336" width="0" style="247" hidden="1" customWidth="1"/>
    <col min="3337" max="3337" width="41" style="247" customWidth="1"/>
    <col min="3338" max="3338" width="11" style="247" customWidth="1"/>
    <col min="3339" max="3344" width="10.140625" style="247" customWidth="1"/>
    <col min="3345" max="3350" width="9.85546875" style="247" customWidth="1"/>
    <col min="3351" max="3354" width="9.7109375" style="247" customWidth="1"/>
    <col min="3355" max="3356" width="9.140625" style="247" customWidth="1"/>
    <col min="3357" max="3591" width="9.140625" style="247"/>
    <col min="3592" max="3592" width="0" style="247" hidden="1" customWidth="1"/>
    <col min="3593" max="3593" width="41" style="247" customWidth="1"/>
    <col min="3594" max="3594" width="11" style="247" customWidth="1"/>
    <col min="3595" max="3600" width="10.140625" style="247" customWidth="1"/>
    <col min="3601" max="3606" width="9.85546875" style="247" customWidth="1"/>
    <col min="3607" max="3610" width="9.7109375" style="247" customWidth="1"/>
    <col min="3611" max="3612" width="9.140625" style="247" customWidth="1"/>
    <col min="3613" max="3847" width="9.140625" style="247"/>
    <col min="3848" max="3848" width="0" style="247" hidden="1" customWidth="1"/>
    <col min="3849" max="3849" width="41" style="247" customWidth="1"/>
    <col min="3850" max="3850" width="11" style="247" customWidth="1"/>
    <col min="3851" max="3856" width="10.140625" style="247" customWidth="1"/>
    <col min="3857" max="3862" width="9.85546875" style="247" customWidth="1"/>
    <col min="3863" max="3866" width="9.7109375" style="247" customWidth="1"/>
    <col min="3867" max="3868" width="9.140625" style="247" customWidth="1"/>
    <col min="3869" max="4103" width="9.140625" style="247"/>
    <col min="4104" max="4104" width="0" style="247" hidden="1" customWidth="1"/>
    <col min="4105" max="4105" width="41" style="247" customWidth="1"/>
    <col min="4106" max="4106" width="11" style="247" customWidth="1"/>
    <col min="4107" max="4112" width="10.140625" style="247" customWidth="1"/>
    <col min="4113" max="4118" width="9.85546875" style="247" customWidth="1"/>
    <col min="4119" max="4122" width="9.7109375" style="247" customWidth="1"/>
    <col min="4123" max="4124" width="9.140625" style="247" customWidth="1"/>
    <col min="4125" max="4359" width="9.140625" style="247"/>
    <col min="4360" max="4360" width="0" style="247" hidden="1" customWidth="1"/>
    <col min="4361" max="4361" width="41" style="247" customWidth="1"/>
    <col min="4362" max="4362" width="11" style="247" customWidth="1"/>
    <col min="4363" max="4368" width="10.140625" style="247" customWidth="1"/>
    <col min="4369" max="4374" width="9.85546875" style="247" customWidth="1"/>
    <col min="4375" max="4378" width="9.7109375" style="247" customWidth="1"/>
    <col min="4379" max="4380" width="9.140625" style="247" customWidth="1"/>
    <col min="4381" max="4615" width="9.140625" style="247"/>
    <col min="4616" max="4616" width="0" style="247" hidden="1" customWidth="1"/>
    <col min="4617" max="4617" width="41" style="247" customWidth="1"/>
    <col min="4618" max="4618" width="11" style="247" customWidth="1"/>
    <col min="4619" max="4624" width="10.140625" style="247" customWidth="1"/>
    <col min="4625" max="4630" width="9.85546875" style="247" customWidth="1"/>
    <col min="4631" max="4634" width="9.7109375" style="247" customWidth="1"/>
    <col min="4635" max="4636" width="9.140625" style="247" customWidth="1"/>
    <col min="4637" max="4871" width="9.140625" style="247"/>
    <col min="4872" max="4872" width="0" style="247" hidden="1" customWidth="1"/>
    <col min="4873" max="4873" width="41" style="247" customWidth="1"/>
    <col min="4874" max="4874" width="11" style="247" customWidth="1"/>
    <col min="4875" max="4880" width="10.140625" style="247" customWidth="1"/>
    <col min="4881" max="4886" width="9.85546875" style="247" customWidth="1"/>
    <col min="4887" max="4890" width="9.7109375" style="247" customWidth="1"/>
    <col min="4891" max="4892" width="9.140625" style="247" customWidth="1"/>
    <col min="4893" max="5127" width="9.140625" style="247"/>
    <col min="5128" max="5128" width="0" style="247" hidden="1" customWidth="1"/>
    <col min="5129" max="5129" width="41" style="247" customWidth="1"/>
    <col min="5130" max="5130" width="11" style="247" customWidth="1"/>
    <col min="5131" max="5136" width="10.140625" style="247" customWidth="1"/>
    <col min="5137" max="5142" width="9.85546875" style="247" customWidth="1"/>
    <col min="5143" max="5146" width="9.7109375" style="247" customWidth="1"/>
    <col min="5147" max="5148" width="9.140625" style="247" customWidth="1"/>
    <col min="5149" max="5383" width="9.140625" style="247"/>
    <col min="5384" max="5384" width="0" style="247" hidden="1" customWidth="1"/>
    <col min="5385" max="5385" width="41" style="247" customWidth="1"/>
    <col min="5386" max="5386" width="11" style="247" customWidth="1"/>
    <col min="5387" max="5392" width="10.140625" style="247" customWidth="1"/>
    <col min="5393" max="5398" width="9.85546875" style="247" customWidth="1"/>
    <col min="5399" max="5402" width="9.7109375" style="247" customWidth="1"/>
    <col min="5403" max="5404" width="9.140625" style="247" customWidth="1"/>
    <col min="5405" max="5639" width="9.140625" style="247"/>
    <col min="5640" max="5640" width="0" style="247" hidden="1" customWidth="1"/>
    <col min="5641" max="5641" width="41" style="247" customWidth="1"/>
    <col min="5642" max="5642" width="11" style="247" customWidth="1"/>
    <col min="5643" max="5648" width="10.140625" style="247" customWidth="1"/>
    <col min="5649" max="5654" width="9.85546875" style="247" customWidth="1"/>
    <col min="5655" max="5658" width="9.7109375" style="247" customWidth="1"/>
    <col min="5659" max="5660" width="9.140625" style="247" customWidth="1"/>
    <col min="5661" max="5895" width="9.140625" style="247"/>
    <col min="5896" max="5896" width="0" style="247" hidden="1" customWidth="1"/>
    <col min="5897" max="5897" width="41" style="247" customWidth="1"/>
    <col min="5898" max="5898" width="11" style="247" customWidth="1"/>
    <col min="5899" max="5904" width="10.140625" style="247" customWidth="1"/>
    <col min="5905" max="5910" width="9.85546875" style="247" customWidth="1"/>
    <col min="5911" max="5914" width="9.7109375" style="247" customWidth="1"/>
    <col min="5915" max="5916" width="9.140625" style="247" customWidth="1"/>
    <col min="5917" max="6151" width="9.140625" style="247"/>
    <col min="6152" max="6152" width="0" style="247" hidden="1" customWidth="1"/>
    <col min="6153" max="6153" width="41" style="247" customWidth="1"/>
    <col min="6154" max="6154" width="11" style="247" customWidth="1"/>
    <col min="6155" max="6160" width="10.140625" style="247" customWidth="1"/>
    <col min="6161" max="6166" width="9.85546875" style="247" customWidth="1"/>
    <col min="6167" max="6170" width="9.7109375" style="247" customWidth="1"/>
    <col min="6171" max="6172" width="9.140625" style="247" customWidth="1"/>
    <col min="6173" max="6407" width="9.140625" style="247"/>
    <col min="6408" max="6408" width="0" style="247" hidden="1" customWidth="1"/>
    <col min="6409" max="6409" width="41" style="247" customWidth="1"/>
    <col min="6410" max="6410" width="11" style="247" customWidth="1"/>
    <col min="6411" max="6416" width="10.140625" style="247" customWidth="1"/>
    <col min="6417" max="6422" width="9.85546875" style="247" customWidth="1"/>
    <col min="6423" max="6426" width="9.7109375" style="247" customWidth="1"/>
    <col min="6427" max="6428" width="9.140625" style="247" customWidth="1"/>
    <col min="6429" max="6663" width="9.140625" style="247"/>
    <col min="6664" max="6664" width="0" style="247" hidden="1" customWidth="1"/>
    <col min="6665" max="6665" width="41" style="247" customWidth="1"/>
    <col min="6666" max="6666" width="11" style="247" customWidth="1"/>
    <col min="6667" max="6672" width="10.140625" style="247" customWidth="1"/>
    <col min="6673" max="6678" width="9.85546875" style="247" customWidth="1"/>
    <col min="6679" max="6682" width="9.7109375" style="247" customWidth="1"/>
    <col min="6683" max="6684" width="9.140625" style="247" customWidth="1"/>
    <col min="6685" max="6919" width="9.140625" style="247"/>
    <col min="6920" max="6920" width="0" style="247" hidden="1" customWidth="1"/>
    <col min="6921" max="6921" width="41" style="247" customWidth="1"/>
    <col min="6922" max="6922" width="11" style="247" customWidth="1"/>
    <col min="6923" max="6928" width="10.140625" style="247" customWidth="1"/>
    <col min="6929" max="6934" width="9.85546875" style="247" customWidth="1"/>
    <col min="6935" max="6938" width="9.7109375" style="247" customWidth="1"/>
    <col min="6939" max="6940" width="9.140625" style="247" customWidth="1"/>
    <col min="6941" max="7175" width="9.140625" style="247"/>
    <col min="7176" max="7176" width="0" style="247" hidden="1" customWidth="1"/>
    <col min="7177" max="7177" width="41" style="247" customWidth="1"/>
    <col min="7178" max="7178" width="11" style="247" customWidth="1"/>
    <col min="7179" max="7184" width="10.140625" style="247" customWidth="1"/>
    <col min="7185" max="7190" width="9.85546875" style="247" customWidth="1"/>
    <col min="7191" max="7194" width="9.7109375" style="247" customWidth="1"/>
    <col min="7195" max="7196" width="9.140625" style="247" customWidth="1"/>
    <col min="7197" max="7431" width="9.140625" style="247"/>
    <col min="7432" max="7432" width="0" style="247" hidden="1" customWidth="1"/>
    <col min="7433" max="7433" width="41" style="247" customWidth="1"/>
    <col min="7434" max="7434" width="11" style="247" customWidth="1"/>
    <col min="7435" max="7440" width="10.140625" style="247" customWidth="1"/>
    <col min="7441" max="7446" width="9.85546875" style="247" customWidth="1"/>
    <col min="7447" max="7450" width="9.7109375" style="247" customWidth="1"/>
    <col min="7451" max="7452" width="9.140625" style="247" customWidth="1"/>
    <col min="7453" max="7687" width="9.140625" style="247"/>
    <col min="7688" max="7688" width="0" style="247" hidden="1" customWidth="1"/>
    <col min="7689" max="7689" width="41" style="247" customWidth="1"/>
    <col min="7690" max="7690" width="11" style="247" customWidth="1"/>
    <col min="7691" max="7696" width="10.140625" style="247" customWidth="1"/>
    <col min="7697" max="7702" width="9.85546875" style="247" customWidth="1"/>
    <col min="7703" max="7706" width="9.7109375" style="247" customWidth="1"/>
    <col min="7707" max="7708" width="9.140625" style="247" customWidth="1"/>
    <col min="7709" max="7943" width="9.140625" style="247"/>
    <col min="7944" max="7944" width="0" style="247" hidden="1" customWidth="1"/>
    <col min="7945" max="7945" width="41" style="247" customWidth="1"/>
    <col min="7946" max="7946" width="11" style="247" customWidth="1"/>
    <col min="7947" max="7952" width="10.140625" style="247" customWidth="1"/>
    <col min="7953" max="7958" width="9.85546875" style="247" customWidth="1"/>
    <col min="7959" max="7962" width="9.7109375" style="247" customWidth="1"/>
    <col min="7963" max="7964" width="9.140625" style="247" customWidth="1"/>
    <col min="7965" max="8199" width="9.140625" style="247"/>
    <col min="8200" max="8200" width="0" style="247" hidden="1" customWidth="1"/>
    <col min="8201" max="8201" width="41" style="247" customWidth="1"/>
    <col min="8202" max="8202" width="11" style="247" customWidth="1"/>
    <col min="8203" max="8208" width="10.140625" style="247" customWidth="1"/>
    <col min="8209" max="8214" width="9.85546875" style="247" customWidth="1"/>
    <col min="8215" max="8218" width="9.7109375" style="247" customWidth="1"/>
    <col min="8219" max="8220" width="9.140625" style="247" customWidth="1"/>
    <col min="8221" max="8455" width="9.140625" style="247"/>
    <col min="8456" max="8456" width="0" style="247" hidden="1" customWidth="1"/>
    <col min="8457" max="8457" width="41" style="247" customWidth="1"/>
    <col min="8458" max="8458" width="11" style="247" customWidth="1"/>
    <col min="8459" max="8464" width="10.140625" style="247" customWidth="1"/>
    <col min="8465" max="8470" width="9.85546875" style="247" customWidth="1"/>
    <col min="8471" max="8474" width="9.7109375" style="247" customWidth="1"/>
    <col min="8475" max="8476" width="9.140625" style="247" customWidth="1"/>
    <col min="8477" max="8711" width="9.140625" style="247"/>
    <col min="8712" max="8712" width="0" style="247" hidden="1" customWidth="1"/>
    <col min="8713" max="8713" width="41" style="247" customWidth="1"/>
    <col min="8714" max="8714" width="11" style="247" customWidth="1"/>
    <col min="8715" max="8720" width="10.140625" style="247" customWidth="1"/>
    <col min="8721" max="8726" width="9.85546875" style="247" customWidth="1"/>
    <col min="8727" max="8730" width="9.7109375" style="247" customWidth="1"/>
    <col min="8731" max="8732" width="9.140625" style="247" customWidth="1"/>
    <col min="8733" max="8967" width="9.140625" style="247"/>
    <col min="8968" max="8968" width="0" style="247" hidden="1" customWidth="1"/>
    <col min="8969" max="8969" width="41" style="247" customWidth="1"/>
    <col min="8970" max="8970" width="11" style="247" customWidth="1"/>
    <col min="8971" max="8976" width="10.140625" style="247" customWidth="1"/>
    <col min="8977" max="8982" width="9.85546875" style="247" customWidth="1"/>
    <col min="8983" max="8986" width="9.7109375" style="247" customWidth="1"/>
    <col min="8987" max="8988" width="9.140625" style="247" customWidth="1"/>
    <col min="8989" max="9223" width="9.140625" style="247"/>
    <col min="9224" max="9224" width="0" style="247" hidden="1" customWidth="1"/>
    <col min="9225" max="9225" width="41" style="247" customWidth="1"/>
    <col min="9226" max="9226" width="11" style="247" customWidth="1"/>
    <col min="9227" max="9232" width="10.140625" style="247" customWidth="1"/>
    <col min="9233" max="9238" width="9.85546875" style="247" customWidth="1"/>
    <col min="9239" max="9242" width="9.7109375" style="247" customWidth="1"/>
    <col min="9243" max="9244" width="9.140625" style="247" customWidth="1"/>
    <col min="9245" max="9479" width="9.140625" style="247"/>
    <col min="9480" max="9480" width="0" style="247" hidden="1" customWidth="1"/>
    <col min="9481" max="9481" width="41" style="247" customWidth="1"/>
    <col min="9482" max="9482" width="11" style="247" customWidth="1"/>
    <col min="9483" max="9488" width="10.140625" style="247" customWidth="1"/>
    <col min="9489" max="9494" width="9.85546875" style="247" customWidth="1"/>
    <col min="9495" max="9498" width="9.7109375" style="247" customWidth="1"/>
    <col min="9499" max="9500" width="9.140625" style="247" customWidth="1"/>
    <col min="9501" max="9735" width="9.140625" style="247"/>
    <col min="9736" max="9736" width="0" style="247" hidden="1" customWidth="1"/>
    <col min="9737" max="9737" width="41" style="247" customWidth="1"/>
    <col min="9738" max="9738" width="11" style="247" customWidth="1"/>
    <col min="9739" max="9744" width="10.140625" style="247" customWidth="1"/>
    <col min="9745" max="9750" width="9.85546875" style="247" customWidth="1"/>
    <col min="9751" max="9754" width="9.7109375" style="247" customWidth="1"/>
    <col min="9755" max="9756" width="9.140625" style="247" customWidth="1"/>
    <col min="9757" max="9991" width="9.140625" style="247"/>
    <col min="9992" max="9992" width="0" style="247" hidden="1" customWidth="1"/>
    <col min="9993" max="9993" width="41" style="247" customWidth="1"/>
    <col min="9994" max="9994" width="11" style="247" customWidth="1"/>
    <col min="9995" max="10000" width="10.140625" style="247" customWidth="1"/>
    <col min="10001" max="10006" width="9.85546875" style="247" customWidth="1"/>
    <col min="10007" max="10010" width="9.7109375" style="247" customWidth="1"/>
    <col min="10011" max="10012" width="9.140625" style="247" customWidth="1"/>
    <col min="10013" max="10247" width="9.140625" style="247"/>
    <col min="10248" max="10248" width="0" style="247" hidden="1" customWidth="1"/>
    <col min="10249" max="10249" width="41" style="247" customWidth="1"/>
    <col min="10250" max="10250" width="11" style="247" customWidth="1"/>
    <col min="10251" max="10256" width="10.140625" style="247" customWidth="1"/>
    <col min="10257" max="10262" width="9.85546875" style="247" customWidth="1"/>
    <col min="10263" max="10266" width="9.7109375" style="247" customWidth="1"/>
    <col min="10267" max="10268" width="9.140625" style="247" customWidth="1"/>
    <col min="10269" max="10503" width="9.140625" style="247"/>
    <col min="10504" max="10504" width="0" style="247" hidden="1" customWidth="1"/>
    <col min="10505" max="10505" width="41" style="247" customWidth="1"/>
    <col min="10506" max="10506" width="11" style="247" customWidth="1"/>
    <col min="10507" max="10512" width="10.140625" style="247" customWidth="1"/>
    <col min="10513" max="10518" width="9.85546875" style="247" customWidth="1"/>
    <col min="10519" max="10522" width="9.7109375" style="247" customWidth="1"/>
    <col min="10523" max="10524" width="9.140625" style="247" customWidth="1"/>
    <col min="10525" max="10759" width="9.140625" style="247"/>
    <col min="10760" max="10760" width="0" style="247" hidden="1" customWidth="1"/>
    <col min="10761" max="10761" width="41" style="247" customWidth="1"/>
    <col min="10762" max="10762" width="11" style="247" customWidth="1"/>
    <col min="10763" max="10768" width="10.140625" style="247" customWidth="1"/>
    <col min="10769" max="10774" width="9.85546875" style="247" customWidth="1"/>
    <col min="10775" max="10778" width="9.7109375" style="247" customWidth="1"/>
    <col min="10779" max="10780" width="9.140625" style="247" customWidth="1"/>
    <col min="10781" max="11015" width="9.140625" style="247"/>
    <col min="11016" max="11016" width="0" style="247" hidden="1" customWidth="1"/>
    <col min="11017" max="11017" width="41" style="247" customWidth="1"/>
    <col min="11018" max="11018" width="11" style="247" customWidth="1"/>
    <col min="11019" max="11024" width="10.140625" style="247" customWidth="1"/>
    <col min="11025" max="11030" width="9.85546875" style="247" customWidth="1"/>
    <col min="11031" max="11034" width="9.7109375" style="247" customWidth="1"/>
    <col min="11035" max="11036" width="9.140625" style="247" customWidth="1"/>
    <col min="11037" max="11271" width="9.140625" style="247"/>
    <col min="11272" max="11272" width="0" style="247" hidden="1" customWidth="1"/>
    <col min="11273" max="11273" width="41" style="247" customWidth="1"/>
    <col min="11274" max="11274" width="11" style="247" customWidth="1"/>
    <col min="11275" max="11280" width="10.140625" style="247" customWidth="1"/>
    <col min="11281" max="11286" width="9.85546875" style="247" customWidth="1"/>
    <col min="11287" max="11290" width="9.7109375" style="247" customWidth="1"/>
    <col min="11291" max="11292" width="9.140625" style="247" customWidth="1"/>
    <col min="11293" max="11527" width="9.140625" style="247"/>
    <col min="11528" max="11528" width="0" style="247" hidden="1" customWidth="1"/>
    <col min="11529" max="11529" width="41" style="247" customWidth="1"/>
    <col min="11530" max="11530" width="11" style="247" customWidth="1"/>
    <col min="11531" max="11536" width="10.140625" style="247" customWidth="1"/>
    <col min="11537" max="11542" width="9.85546875" style="247" customWidth="1"/>
    <col min="11543" max="11546" width="9.7109375" style="247" customWidth="1"/>
    <col min="11547" max="11548" width="9.140625" style="247" customWidth="1"/>
    <col min="11549" max="11783" width="9.140625" style="247"/>
    <col min="11784" max="11784" width="0" style="247" hidden="1" customWidth="1"/>
    <col min="11785" max="11785" width="41" style="247" customWidth="1"/>
    <col min="11786" max="11786" width="11" style="247" customWidth="1"/>
    <col min="11787" max="11792" width="10.140625" style="247" customWidth="1"/>
    <col min="11793" max="11798" width="9.85546875" style="247" customWidth="1"/>
    <col min="11799" max="11802" width="9.7109375" style="247" customWidth="1"/>
    <col min="11803" max="11804" width="9.140625" style="247" customWidth="1"/>
    <col min="11805" max="12039" width="9.140625" style="247"/>
    <col min="12040" max="12040" width="0" style="247" hidden="1" customWidth="1"/>
    <col min="12041" max="12041" width="41" style="247" customWidth="1"/>
    <col min="12042" max="12042" width="11" style="247" customWidth="1"/>
    <col min="12043" max="12048" width="10.140625" style="247" customWidth="1"/>
    <col min="12049" max="12054" width="9.85546875" style="247" customWidth="1"/>
    <col min="12055" max="12058" width="9.7109375" style="247" customWidth="1"/>
    <col min="12059" max="12060" width="9.140625" style="247" customWidth="1"/>
    <col min="12061" max="12295" width="9.140625" style="247"/>
    <col min="12296" max="12296" width="0" style="247" hidden="1" customWidth="1"/>
    <col min="12297" max="12297" width="41" style="247" customWidth="1"/>
    <col min="12298" max="12298" width="11" style="247" customWidth="1"/>
    <col min="12299" max="12304" width="10.140625" style="247" customWidth="1"/>
    <col min="12305" max="12310" width="9.85546875" style="247" customWidth="1"/>
    <col min="12311" max="12314" width="9.7109375" style="247" customWidth="1"/>
    <col min="12315" max="12316" width="9.140625" style="247" customWidth="1"/>
    <col min="12317" max="12551" width="9.140625" style="247"/>
    <col min="12552" max="12552" width="0" style="247" hidden="1" customWidth="1"/>
    <col min="12553" max="12553" width="41" style="247" customWidth="1"/>
    <col min="12554" max="12554" width="11" style="247" customWidth="1"/>
    <col min="12555" max="12560" width="10.140625" style="247" customWidth="1"/>
    <col min="12561" max="12566" width="9.85546875" style="247" customWidth="1"/>
    <col min="12567" max="12570" width="9.7109375" style="247" customWidth="1"/>
    <col min="12571" max="12572" width="9.140625" style="247" customWidth="1"/>
    <col min="12573" max="12807" width="9.140625" style="247"/>
    <col min="12808" max="12808" width="0" style="247" hidden="1" customWidth="1"/>
    <col min="12809" max="12809" width="41" style="247" customWidth="1"/>
    <col min="12810" max="12810" width="11" style="247" customWidth="1"/>
    <col min="12811" max="12816" width="10.140625" style="247" customWidth="1"/>
    <col min="12817" max="12822" width="9.85546875" style="247" customWidth="1"/>
    <col min="12823" max="12826" width="9.7109375" style="247" customWidth="1"/>
    <col min="12827" max="12828" width="9.140625" style="247" customWidth="1"/>
    <col min="12829" max="13063" width="9.140625" style="247"/>
    <col min="13064" max="13064" width="0" style="247" hidden="1" customWidth="1"/>
    <col min="13065" max="13065" width="41" style="247" customWidth="1"/>
    <col min="13066" max="13066" width="11" style="247" customWidth="1"/>
    <col min="13067" max="13072" width="10.140625" style="247" customWidth="1"/>
    <col min="13073" max="13078" width="9.85546875" style="247" customWidth="1"/>
    <col min="13079" max="13082" width="9.7109375" style="247" customWidth="1"/>
    <col min="13083" max="13084" width="9.140625" style="247" customWidth="1"/>
    <col min="13085" max="13319" width="9.140625" style="247"/>
    <col min="13320" max="13320" width="0" style="247" hidden="1" customWidth="1"/>
    <col min="13321" max="13321" width="41" style="247" customWidth="1"/>
    <col min="13322" max="13322" width="11" style="247" customWidth="1"/>
    <col min="13323" max="13328" width="10.140625" style="247" customWidth="1"/>
    <col min="13329" max="13334" width="9.85546875" style="247" customWidth="1"/>
    <col min="13335" max="13338" width="9.7109375" style="247" customWidth="1"/>
    <col min="13339" max="13340" width="9.140625" style="247" customWidth="1"/>
    <col min="13341" max="13575" width="9.140625" style="247"/>
    <col min="13576" max="13576" width="0" style="247" hidden="1" customWidth="1"/>
    <col min="13577" max="13577" width="41" style="247" customWidth="1"/>
    <col min="13578" max="13578" width="11" style="247" customWidth="1"/>
    <col min="13579" max="13584" width="10.140625" style="247" customWidth="1"/>
    <col min="13585" max="13590" width="9.85546875" style="247" customWidth="1"/>
    <col min="13591" max="13594" width="9.7109375" style="247" customWidth="1"/>
    <col min="13595" max="13596" width="9.140625" style="247" customWidth="1"/>
    <col min="13597" max="13831" width="9.140625" style="247"/>
    <col min="13832" max="13832" width="0" style="247" hidden="1" customWidth="1"/>
    <col min="13833" max="13833" width="41" style="247" customWidth="1"/>
    <col min="13834" max="13834" width="11" style="247" customWidth="1"/>
    <col min="13835" max="13840" width="10.140625" style="247" customWidth="1"/>
    <col min="13841" max="13846" width="9.85546875" style="247" customWidth="1"/>
    <col min="13847" max="13850" width="9.7109375" style="247" customWidth="1"/>
    <col min="13851" max="13852" width="9.140625" style="247" customWidth="1"/>
    <col min="13853" max="14087" width="9.140625" style="247"/>
    <col min="14088" max="14088" width="0" style="247" hidden="1" customWidth="1"/>
    <col min="14089" max="14089" width="41" style="247" customWidth="1"/>
    <col min="14090" max="14090" width="11" style="247" customWidth="1"/>
    <col min="14091" max="14096" width="10.140625" style="247" customWidth="1"/>
    <col min="14097" max="14102" width="9.85546875" style="247" customWidth="1"/>
    <col min="14103" max="14106" width="9.7109375" style="247" customWidth="1"/>
    <col min="14107" max="14108" width="9.140625" style="247" customWidth="1"/>
    <col min="14109" max="14343" width="9.140625" style="247"/>
    <col min="14344" max="14344" width="0" style="247" hidden="1" customWidth="1"/>
    <col min="14345" max="14345" width="41" style="247" customWidth="1"/>
    <col min="14346" max="14346" width="11" style="247" customWidth="1"/>
    <col min="14347" max="14352" width="10.140625" style="247" customWidth="1"/>
    <col min="14353" max="14358" width="9.85546875" style="247" customWidth="1"/>
    <col min="14359" max="14362" width="9.7109375" style="247" customWidth="1"/>
    <col min="14363" max="14364" width="9.140625" style="247" customWidth="1"/>
    <col min="14365" max="14599" width="9.140625" style="247"/>
    <col min="14600" max="14600" width="0" style="247" hidden="1" customWidth="1"/>
    <col min="14601" max="14601" width="41" style="247" customWidth="1"/>
    <col min="14602" max="14602" width="11" style="247" customWidth="1"/>
    <col min="14603" max="14608" width="10.140625" style="247" customWidth="1"/>
    <col min="14609" max="14614" width="9.85546875" style="247" customWidth="1"/>
    <col min="14615" max="14618" width="9.7109375" style="247" customWidth="1"/>
    <col min="14619" max="14620" width="9.140625" style="247" customWidth="1"/>
    <col min="14621" max="14855" width="9.140625" style="247"/>
    <col min="14856" max="14856" width="0" style="247" hidden="1" customWidth="1"/>
    <col min="14857" max="14857" width="41" style="247" customWidth="1"/>
    <col min="14858" max="14858" width="11" style="247" customWidth="1"/>
    <col min="14859" max="14864" width="10.140625" style="247" customWidth="1"/>
    <col min="14865" max="14870" width="9.85546875" style="247" customWidth="1"/>
    <col min="14871" max="14874" width="9.7109375" style="247" customWidth="1"/>
    <col min="14875" max="14876" width="9.140625" style="247" customWidth="1"/>
    <col min="14877" max="15111" width="9.140625" style="247"/>
    <col min="15112" max="15112" width="0" style="247" hidden="1" customWidth="1"/>
    <col min="15113" max="15113" width="41" style="247" customWidth="1"/>
    <col min="15114" max="15114" width="11" style="247" customWidth="1"/>
    <col min="15115" max="15120" width="10.140625" style="247" customWidth="1"/>
    <col min="15121" max="15126" width="9.85546875" style="247" customWidth="1"/>
    <col min="15127" max="15130" width="9.7109375" style="247" customWidth="1"/>
    <col min="15131" max="15132" width="9.140625" style="247" customWidth="1"/>
    <col min="15133" max="15367" width="9.140625" style="247"/>
    <col min="15368" max="15368" width="0" style="247" hidden="1" customWidth="1"/>
    <col min="15369" max="15369" width="41" style="247" customWidth="1"/>
    <col min="15370" max="15370" width="11" style="247" customWidth="1"/>
    <col min="15371" max="15376" width="10.140625" style="247" customWidth="1"/>
    <col min="15377" max="15382" width="9.85546875" style="247" customWidth="1"/>
    <col min="15383" max="15386" width="9.7109375" style="247" customWidth="1"/>
    <col min="15387" max="15388" width="9.140625" style="247" customWidth="1"/>
    <col min="15389" max="15623" width="9.140625" style="247"/>
    <col min="15624" max="15624" width="0" style="247" hidden="1" customWidth="1"/>
    <col min="15625" max="15625" width="41" style="247" customWidth="1"/>
    <col min="15626" max="15626" width="11" style="247" customWidth="1"/>
    <col min="15627" max="15632" width="10.140625" style="247" customWidth="1"/>
    <col min="15633" max="15638" width="9.85546875" style="247" customWidth="1"/>
    <col min="15639" max="15642" width="9.7109375" style="247" customWidth="1"/>
    <col min="15643" max="15644" width="9.140625" style="247" customWidth="1"/>
    <col min="15645" max="15879" width="9.140625" style="247"/>
    <col min="15880" max="15880" width="0" style="247" hidden="1" customWidth="1"/>
    <col min="15881" max="15881" width="41" style="247" customWidth="1"/>
    <col min="15882" max="15882" width="11" style="247" customWidth="1"/>
    <col min="15883" max="15888" width="10.140625" style="247" customWidth="1"/>
    <col min="15889" max="15894" width="9.85546875" style="247" customWidth="1"/>
    <col min="15895" max="15898" width="9.7109375" style="247" customWidth="1"/>
    <col min="15899" max="15900" width="9.140625" style="247" customWidth="1"/>
    <col min="15901" max="16135" width="9.140625" style="247"/>
    <col min="16136" max="16136" width="0" style="247" hidden="1" customWidth="1"/>
    <col min="16137" max="16137" width="41" style="247" customWidth="1"/>
    <col min="16138" max="16138" width="11" style="247" customWidth="1"/>
    <col min="16139" max="16144" width="10.140625" style="247" customWidth="1"/>
    <col min="16145" max="16150" width="9.85546875" style="247" customWidth="1"/>
    <col min="16151" max="16154" width="9.7109375" style="247" customWidth="1"/>
    <col min="16155" max="16156" width="9.140625" style="247" customWidth="1"/>
    <col min="16157" max="16384" width="9.140625" style="247"/>
  </cols>
  <sheetData>
    <row r="1" spans="1:71" ht="15.75" x14ac:dyDescent="0.25">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row>
    <row r="2" spans="1:71" ht="15.75" x14ac:dyDescent="0.25">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row>
    <row r="3" spans="1:71" ht="25.5" customHeight="1" x14ac:dyDescent="0.3">
      <c r="D3" s="473" t="str">
        <f>IF(Contents!$B$8="English","Contents","Содержание")</f>
        <v>Содержание</v>
      </c>
      <c r="E3" s="473"/>
      <c r="H3" s="186"/>
      <c r="K3" s="186"/>
      <c r="L3" s="186"/>
      <c r="M3" s="186"/>
      <c r="N3" s="186"/>
      <c r="O3" s="186"/>
      <c r="P3" s="186"/>
      <c r="Q3" s="186"/>
      <c r="R3" s="186"/>
      <c r="S3" s="186"/>
      <c r="T3" s="186"/>
      <c r="U3" s="186"/>
      <c r="V3" s="186"/>
      <c r="W3" s="186"/>
      <c r="X3" s="186"/>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row>
    <row r="4" spans="1:71" ht="12" customHeight="1" x14ac:dyDescent="0.25">
      <c r="C4" s="31"/>
      <c r="D4" s="31"/>
      <c r="F4" s="184"/>
      <c r="G4" s="184"/>
      <c r="U4" s="381" t="str">
        <f>IF(Contents!$B$8="English","Back","Назад")</f>
        <v>Назад</v>
      </c>
      <c r="V4" s="16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row>
    <row r="5" spans="1:71" ht="18.75" x14ac:dyDescent="0.3">
      <c r="G5" s="475" t="str">
        <f>IF(Contents!$B$8="English","Tariff regulatory parameters","Параметры тарифного регулирования")</f>
        <v>Параметры тарифного регулирования</v>
      </c>
      <c r="H5" s="475"/>
      <c r="I5" s="475"/>
      <c r="J5" s="475"/>
      <c r="K5" s="475"/>
      <c r="L5" s="475"/>
      <c r="M5" s="475"/>
      <c r="N5" s="475"/>
      <c r="O5" s="475"/>
      <c r="P5" s="475"/>
      <c r="T5" s="186"/>
      <c r="U5" s="186"/>
      <c r="V5" s="186"/>
      <c r="W5" s="186"/>
      <c r="X5" s="186"/>
      <c r="Y5" s="186"/>
      <c r="Z5" s="186"/>
      <c r="AA5" s="186"/>
      <c r="AB5" s="186"/>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row>
    <row r="6" spans="1:71" s="231" customFormat="1" ht="4.5" customHeight="1" x14ac:dyDescent="0.25">
      <c r="A6" s="228"/>
      <c r="B6" s="228"/>
      <c r="C6" s="491" t="str">
        <f>IF(Contents!$B$8="English","Approved by the order of the Committee on Tariffs of St. Petersburg dated December 27, 2018 No. 298-p and order of the Committee on Tariffs and Pricing Policy of the Leningrad Region dated December 29, 2018 No. 727-p a","Утверждены распоряжением Комитета по тарифам Санкт-Петербурга от 27 декабря 2018 г. №298-р и приказом Комитета по тарифам и ценовой политике Ленинградской области от 29 декабря 2018 г. № 727-п")</f>
        <v>Утверждены распоряжением Комитета по тарифам Санкт-Петербурга от 27 декабря 2018 г. №298-р и приказом Комитета по тарифам и ценовой политике Ленинградской области от 29 декабря 2018 г. № 727-п</v>
      </c>
      <c r="D6" s="491"/>
      <c r="E6" s="491"/>
      <c r="F6" s="491"/>
      <c r="G6" s="491"/>
      <c r="H6" s="491"/>
      <c r="I6" s="491"/>
      <c r="J6" s="491"/>
      <c r="K6" s="491"/>
      <c r="L6" s="491"/>
      <c r="M6" s="491"/>
      <c r="N6" s="491"/>
      <c r="O6" s="491"/>
      <c r="P6" s="491"/>
      <c r="Q6" s="491"/>
      <c r="R6" s="491"/>
      <c r="S6" s="491"/>
      <c r="T6" s="310"/>
      <c r="U6" s="310"/>
      <c r="V6" s="310"/>
      <c r="W6" s="310"/>
      <c r="X6" s="310"/>
      <c r="Y6" s="310"/>
      <c r="Z6" s="310"/>
      <c r="AA6" s="310"/>
      <c r="AB6" s="310"/>
    </row>
    <row r="7" spans="1:71" s="231" customFormat="1" ht="15.75" x14ac:dyDescent="0.25">
      <c r="A7" s="228"/>
      <c r="B7" s="228"/>
      <c r="C7" s="491"/>
      <c r="D7" s="491"/>
      <c r="E7" s="491"/>
      <c r="F7" s="491"/>
      <c r="G7" s="491"/>
      <c r="H7" s="491"/>
      <c r="I7" s="491"/>
      <c r="J7" s="491"/>
      <c r="K7" s="491"/>
      <c r="L7" s="491"/>
      <c r="M7" s="491"/>
      <c r="N7" s="491"/>
      <c r="O7" s="491"/>
      <c r="P7" s="491"/>
      <c r="Q7" s="491"/>
      <c r="R7" s="491"/>
      <c r="S7" s="491"/>
      <c r="T7" s="228"/>
      <c r="U7" s="228"/>
      <c r="V7" s="228"/>
      <c r="W7" s="228"/>
      <c r="X7" s="228"/>
      <c r="Y7" s="228"/>
      <c r="Z7" s="228"/>
      <c r="AA7" s="228"/>
      <c r="AB7" s="228"/>
    </row>
    <row r="8" spans="1:71" ht="15.75" x14ac:dyDescent="0.25">
      <c r="C8" s="227" t="str">
        <f>IF(Contents!$B$8="English",E47,C47)</f>
        <v>Структура НВВ с учетом тарифно-балансовых решений на 2018-2022 гг.</v>
      </c>
      <c r="D8" s="227"/>
      <c r="AA8" s="249"/>
      <c r="AB8" s="249"/>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c r="BS8" s="231"/>
    </row>
    <row r="9" spans="1:71" ht="15.75" customHeight="1" x14ac:dyDescent="0.25">
      <c r="C9" s="255"/>
      <c r="D9" s="255"/>
      <c r="E9" s="492" t="str">
        <f>IF(Contents!$B$8="English","Saint Petersburg","Санкт-Петербург")</f>
        <v>Санкт-Петербург</v>
      </c>
      <c r="F9" s="492"/>
      <c r="G9" s="492"/>
      <c r="H9" s="492"/>
      <c r="I9" s="492"/>
      <c r="J9" s="310"/>
      <c r="K9" s="493" t="str">
        <f>IF(Contents!$B$8="English","Leningrad region","Ленинградская область")</f>
        <v>Ленинградская область</v>
      </c>
      <c r="L9" s="493"/>
      <c r="M9" s="493"/>
      <c r="N9" s="493"/>
      <c r="O9" s="493"/>
      <c r="P9" s="310"/>
      <c r="Q9" s="493" t="str">
        <f>IF(Contents!$B$8="English","«Rosseti Lenenergo», PJSC","ПАО «Россети Ленэнерго» ")</f>
        <v xml:space="preserve">ПАО «Россети Ленэнерго» </v>
      </c>
      <c r="R9" s="493"/>
      <c r="S9" s="493"/>
      <c r="T9" s="493"/>
      <c r="U9" s="493"/>
      <c r="V9" s="310"/>
      <c r="W9" s="310"/>
      <c r="X9" s="310"/>
      <c r="Y9" s="310"/>
      <c r="Z9" s="310"/>
      <c r="AA9" s="249"/>
      <c r="AB9" s="249"/>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row>
    <row r="10" spans="1:71" ht="15.75" x14ac:dyDescent="0.25">
      <c r="C10" s="256"/>
      <c r="D10" s="436" t="str">
        <f>IF(Contents!$B$8="English",G70,D70)</f>
        <v>Ед. изм.</v>
      </c>
      <c r="E10" s="362">
        <v>2018</v>
      </c>
      <c r="F10" s="362">
        <v>2019</v>
      </c>
      <c r="G10" s="362" t="s">
        <v>374</v>
      </c>
      <c r="H10" s="362">
        <v>2021</v>
      </c>
      <c r="I10" s="363">
        <v>2022</v>
      </c>
      <c r="J10" s="362"/>
      <c r="K10" s="362">
        <v>2018</v>
      </c>
      <c r="L10" s="362">
        <v>2019</v>
      </c>
      <c r="M10" s="362">
        <v>2020</v>
      </c>
      <c r="N10" s="362">
        <v>2021</v>
      </c>
      <c r="O10" s="363">
        <v>2022</v>
      </c>
      <c r="P10" s="362"/>
      <c r="Q10" s="362">
        <v>2018</v>
      </c>
      <c r="R10" s="362">
        <v>2019</v>
      </c>
      <c r="S10" s="362">
        <v>2020</v>
      </c>
      <c r="T10" s="362">
        <v>2021</v>
      </c>
      <c r="U10" s="363">
        <v>2022</v>
      </c>
      <c r="V10" s="248"/>
      <c r="W10" s="311"/>
      <c r="X10" s="311"/>
      <c r="Y10" s="311"/>
      <c r="Z10" s="311"/>
      <c r="AA10" s="249"/>
      <c r="AB10" s="249"/>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row>
    <row r="11" spans="1:71" ht="15.75" x14ac:dyDescent="0.25">
      <c r="C11" s="232" t="str">
        <f>IF(Contents!$B$8="English",E50,C50)</f>
        <v>Подконтрольные расходы</v>
      </c>
      <c r="D11" s="393" t="str">
        <f>IF(Contents!$B$8="English",G71,D71)</f>
        <v>млн руб.</v>
      </c>
      <c r="E11" s="248">
        <v>4738.3871500910254</v>
      </c>
      <c r="F11" s="248">
        <v>4983.3138826062232</v>
      </c>
      <c r="G11" s="248">
        <v>6108.3259257421687</v>
      </c>
      <c r="H11" s="248">
        <v>6572.5616276443143</v>
      </c>
      <c r="I11" s="438">
        <v>6926.0287483608408</v>
      </c>
      <c r="J11" s="248"/>
      <c r="K11" s="248">
        <v>3553.7483000000007</v>
      </c>
      <c r="L11" s="248">
        <v>3882.8586816241823</v>
      </c>
      <c r="M11" s="248">
        <v>4003.4397999999997</v>
      </c>
      <c r="N11" s="248">
        <v>5831.9068200000002</v>
      </c>
      <c r="O11" s="438">
        <v>6052.973</v>
      </c>
      <c r="P11" s="248"/>
      <c r="Q11" s="248">
        <v>8292.1354500910256</v>
      </c>
      <c r="R11" s="248">
        <v>8866.1725642304045</v>
      </c>
      <c r="S11" s="248">
        <v>10111.765725742169</v>
      </c>
      <c r="T11" s="248">
        <v>12404.468447644314</v>
      </c>
      <c r="U11" s="438">
        <v>12979.001748360841</v>
      </c>
      <c r="V11" s="248"/>
      <c r="W11" s="248"/>
      <c r="X11" s="248"/>
      <c r="Y11" s="248"/>
      <c r="Z11" s="248"/>
      <c r="AA11" s="249"/>
      <c r="AB11" s="249"/>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row>
    <row r="12" spans="1:71" s="235" customFormat="1" ht="15.75" x14ac:dyDescent="0.25">
      <c r="A12" s="233"/>
      <c r="B12" s="233"/>
      <c r="C12" s="234" t="str">
        <f>IF(Contents!$B$8="English",E51,C51)</f>
        <v>Неподконтрольные расходы</v>
      </c>
      <c r="D12" s="394" t="str">
        <f>IF(Contents!$B$8="English",G71,D71)</f>
        <v>млн руб.</v>
      </c>
      <c r="E12" s="248">
        <v>25508.535499036083</v>
      </c>
      <c r="F12" s="248">
        <v>25462.742395345023</v>
      </c>
      <c r="G12" s="248">
        <v>25005.08394671273</v>
      </c>
      <c r="H12" s="248">
        <v>25329.642470676426</v>
      </c>
      <c r="I12" s="438">
        <v>19831.159648959929</v>
      </c>
      <c r="J12" s="248"/>
      <c r="K12" s="248">
        <v>15596.933747823117</v>
      </c>
      <c r="L12" s="248">
        <v>16204.820171528376</v>
      </c>
      <c r="M12" s="248">
        <v>18318.872558281204</v>
      </c>
      <c r="N12" s="248">
        <v>22997.995822653291</v>
      </c>
      <c r="O12" s="438">
        <v>24303.77119453757</v>
      </c>
      <c r="P12" s="248"/>
      <c r="Q12" s="248">
        <v>36766.893578763083</v>
      </c>
      <c r="R12" s="248">
        <v>39074.107037571477</v>
      </c>
      <c r="S12" s="248">
        <v>38739.845395880897</v>
      </c>
      <c r="T12" s="248">
        <v>44866.709980695028</v>
      </c>
      <c r="U12" s="438">
        <v>44134.930843497496</v>
      </c>
      <c r="V12" s="248"/>
      <c r="W12" s="248"/>
      <c r="X12" s="248"/>
      <c r="Y12" s="248"/>
      <c r="Z12" s="248"/>
      <c r="AA12" s="249"/>
      <c r="AB12" s="249"/>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row>
    <row r="13" spans="1:71" s="235" customFormat="1" ht="15.75" x14ac:dyDescent="0.25">
      <c r="A13" s="233"/>
      <c r="B13" s="233"/>
      <c r="C13" s="257" t="str">
        <f>IF(Contents!$B$8="English",E52,C52)</f>
        <v>плата ПАО «ФСК ЕЭС»</v>
      </c>
      <c r="D13" s="229" t="str">
        <f>IF(Contents!$B$8="English",G71,D71)</f>
        <v>млн руб.</v>
      </c>
      <c r="E13" s="249">
        <v>6013.9147786057329</v>
      </c>
      <c r="F13" s="249">
        <v>6227.4836044640924</v>
      </c>
      <c r="G13" s="249">
        <v>5910.9469057465531</v>
      </c>
      <c r="H13" s="249">
        <v>6280.6428921986762</v>
      </c>
      <c r="I13" s="439">
        <v>6161.0852699492798</v>
      </c>
      <c r="J13" s="249"/>
      <c r="K13" s="249">
        <v>3074.4076202600004</v>
      </c>
      <c r="L13" s="249">
        <v>3285.0335099999993</v>
      </c>
      <c r="M13" s="249">
        <v>3540.6360000000004</v>
      </c>
      <c r="N13" s="249">
        <v>3585.4459199999997</v>
      </c>
      <c r="O13" s="439">
        <v>3582.7371966222013</v>
      </c>
      <c r="P13" s="249"/>
      <c r="Q13" s="249">
        <v>9088.3223988657337</v>
      </c>
      <c r="R13" s="249">
        <v>9512.5171144640917</v>
      </c>
      <c r="S13" s="249">
        <v>9451.5829057465526</v>
      </c>
      <c r="T13" s="249">
        <v>9866.0888121986754</v>
      </c>
      <c r="U13" s="439">
        <v>9743.8224665714806</v>
      </c>
      <c r="V13" s="248"/>
      <c r="W13" s="249"/>
      <c r="X13" s="249"/>
      <c r="Y13" s="249"/>
      <c r="Z13" s="249"/>
      <c r="AA13" s="249"/>
      <c r="AB13" s="249"/>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row>
    <row r="14" spans="1:71" s="235" customFormat="1" ht="15.75" x14ac:dyDescent="0.25">
      <c r="A14" s="233"/>
      <c r="B14" s="233"/>
      <c r="C14" s="257" t="str">
        <f>IF(Contents!$B$8="English",E53,C53)</f>
        <v>услуги ССО</v>
      </c>
      <c r="D14" s="229" t="str">
        <f>IF(Contents!$B$8="English",G71,D71)</f>
        <v>млн руб.</v>
      </c>
      <c r="E14" s="249">
        <v>2490.414298787186</v>
      </c>
      <c r="F14" s="249">
        <v>2974.9837865875493</v>
      </c>
      <c r="G14" s="249">
        <v>1567.9038108345021</v>
      </c>
      <c r="H14" s="249">
        <v>1706.9705847323114</v>
      </c>
      <c r="I14" s="439">
        <v>1991.9958533314666</v>
      </c>
      <c r="J14" s="249"/>
      <c r="K14" s="249">
        <v>8177.6766299999999</v>
      </c>
      <c r="L14" s="249">
        <v>7752.4970699999994</v>
      </c>
      <c r="M14" s="249">
        <v>8292.2534837206495</v>
      </c>
      <c r="N14" s="249">
        <v>4641.8208599999998</v>
      </c>
      <c r="O14" s="439">
        <v>7821.3557300000002</v>
      </c>
      <c r="P14" s="249"/>
      <c r="Q14" s="249">
        <v>10668.090928787185</v>
      </c>
      <c r="R14" s="249">
        <v>10727.480856587548</v>
      </c>
      <c r="S14" s="249">
        <v>9860.1572945551525</v>
      </c>
      <c r="T14" s="249">
        <v>6348.791444732311</v>
      </c>
      <c r="U14" s="439">
        <v>9813.3515833314668</v>
      </c>
      <c r="V14" s="248"/>
      <c r="W14" s="249"/>
      <c r="X14" s="249"/>
      <c r="Y14" s="249"/>
      <c r="Z14" s="249"/>
      <c r="AA14" s="249"/>
      <c r="AB14" s="249"/>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row>
    <row r="15" spans="1:71" s="235" customFormat="1" ht="15.75" x14ac:dyDescent="0.25">
      <c r="A15" s="233"/>
      <c r="B15" s="233"/>
      <c r="C15" s="257" t="str">
        <f>IF(Contents!$B$8="English",E54,C54)</f>
        <v xml:space="preserve">потери в сетях ПАО «Россети Ленэнерго» </v>
      </c>
      <c r="D15" s="229" t="str">
        <f>IF(Contents!$B$8="English",G71,D71)</f>
        <v>млн руб.</v>
      </c>
      <c r="E15" s="249">
        <v>5982.0347253358877</v>
      </c>
      <c r="F15" s="249">
        <v>6755.7332117717524</v>
      </c>
      <c r="G15" s="249">
        <v>7545.2823183544297</v>
      </c>
      <c r="H15" s="249">
        <v>7576.68252965786</v>
      </c>
      <c r="I15" s="439">
        <v>7850.1797290891946</v>
      </c>
      <c r="J15" s="249"/>
      <c r="K15" s="249">
        <v>2992.9853099999996</v>
      </c>
      <c r="L15" s="249">
        <v>3229.63499</v>
      </c>
      <c r="M15" s="249">
        <v>3425.3852900000002</v>
      </c>
      <c r="N15" s="249">
        <v>3883.8560200000002</v>
      </c>
      <c r="O15" s="439">
        <v>4312.2879999999996</v>
      </c>
      <c r="P15" s="249"/>
      <c r="Q15" s="249">
        <v>8975.0200353358869</v>
      </c>
      <c r="R15" s="249">
        <v>9985.3682017717529</v>
      </c>
      <c r="S15" s="249">
        <v>10970.66760835443</v>
      </c>
      <c r="T15" s="249">
        <v>11460.53854965786</v>
      </c>
      <c r="U15" s="439">
        <v>12162.467729089194</v>
      </c>
      <c r="V15" s="248"/>
      <c r="W15" s="249"/>
      <c r="X15" s="249"/>
      <c r="Y15" s="249"/>
      <c r="Z15" s="249"/>
      <c r="AA15" s="249"/>
      <c r="AB15" s="249"/>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row>
    <row r="16" spans="1:71" s="235" customFormat="1" ht="30" customHeight="1" x14ac:dyDescent="0.25">
      <c r="A16" s="233"/>
      <c r="B16" s="233"/>
      <c r="C16" s="433" t="str">
        <f>IF(Contents!$B$8="English",E55,C55)</f>
        <v>выпадающие доходы (льготное ТП, досудебные споры)</v>
      </c>
      <c r="D16" s="229" t="str">
        <f>IF(Contents!$B$8="English",G71,D71)</f>
        <v>млн руб.</v>
      </c>
      <c r="E16" s="249">
        <v>4341.5457540961143</v>
      </c>
      <c r="F16" s="249">
        <v>2597.3187203358175</v>
      </c>
      <c r="G16" s="249">
        <v>4641.3943344728432</v>
      </c>
      <c r="H16" s="249">
        <v>3472.3138115633051</v>
      </c>
      <c r="I16" s="439">
        <v>51.087453013333338</v>
      </c>
      <c r="J16" s="249"/>
      <c r="K16" s="249">
        <v>467.49454152837603</v>
      </c>
      <c r="L16" s="249">
        <v>440.22330152837606</v>
      </c>
      <c r="M16" s="249">
        <v>1247.2887845605542</v>
      </c>
      <c r="N16" s="249">
        <v>2132.4026100000005</v>
      </c>
      <c r="O16" s="439">
        <v>1249.9946800000002</v>
      </c>
      <c r="P16" s="249"/>
      <c r="Q16" s="249">
        <v>470.46462752837175</v>
      </c>
      <c r="R16" s="249">
        <v>444.08649256227739</v>
      </c>
      <c r="S16" s="249">
        <v>1304.5720099203668</v>
      </c>
      <c r="T16" s="249">
        <v>2143.7881089286116</v>
      </c>
      <c r="U16" s="439">
        <v>1301.0821330133335</v>
      </c>
      <c r="V16" s="248"/>
      <c r="W16" s="249"/>
      <c r="X16" s="249"/>
      <c r="Y16" s="249"/>
      <c r="Z16" s="249"/>
      <c r="AA16" s="249"/>
      <c r="AB16" s="249"/>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row>
    <row r="17" spans="1:71" s="235" customFormat="1" ht="15.75" x14ac:dyDescent="0.25">
      <c r="A17" s="233"/>
      <c r="B17" s="233"/>
      <c r="C17" s="434" t="str">
        <f>IF(Contents!$B$8="English",E56,C56)</f>
        <v>прочие неподконтрольные расходы</v>
      </c>
      <c r="D17" s="229" t="str">
        <f>IF(Contents!$B$8="English",G71,D71)</f>
        <v>млн руб.</v>
      </c>
      <c r="E17" s="249">
        <v>6680.6259422111616</v>
      </c>
      <c r="F17" s="249">
        <v>6907.2230721858114</v>
      </c>
      <c r="G17" s="249">
        <v>5339.5565773043991</v>
      </c>
      <c r="H17" s="249">
        <v>6293.0326525242745</v>
      </c>
      <c r="I17" s="439">
        <v>3776.8113435766541</v>
      </c>
      <c r="J17" s="249"/>
      <c r="K17" s="249">
        <v>884.36964603473928</v>
      </c>
      <c r="L17" s="249">
        <v>1497.4312999999997</v>
      </c>
      <c r="M17" s="249">
        <v>1813.309</v>
      </c>
      <c r="N17" s="249">
        <v>8754.4704126532906</v>
      </c>
      <c r="O17" s="439">
        <v>7337.3955879153682</v>
      </c>
      <c r="P17" s="249"/>
      <c r="Q17" s="249">
        <v>7564.9955882459008</v>
      </c>
      <c r="R17" s="249">
        <v>8404.6543721858106</v>
      </c>
      <c r="S17" s="249">
        <v>7152.8655773043993</v>
      </c>
      <c r="T17" s="249">
        <v>15047.503065177565</v>
      </c>
      <c r="U17" s="439">
        <v>11114.206931492023</v>
      </c>
      <c r="V17" s="248"/>
      <c r="W17" s="249"/>
      <c r="X17" s="249"/>
      <c r="Y17" s="249"/>
      <c r="Z17" s="249"/>
      <c r="AA17" s="249"/>
      <c r="AB17" s="249"/>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row>
    <row r="18" spans="1:71" s="235" customFormat="1" ht="15.75" x14ac:dyDescent="0.25">
      <c r="A18" s="233"/>
      <c r="B18" s="233"/>
      <c r="C18" s="435" t="str">
        <f>IF(Contents!$B$8="English",E57,C57)</f>
        <v>Корректировки по факту деятельности</v>
      </c>
      <c r="D18" s="394" t="str">
        <f>IF(Contents!$B$8="English",G72,D72)</f>
        <v>млн руб.</v>
      </c>
      <c r="E18" s="249"/>
      <c r="F18" s="249"/>
      <c r="G18" s="249"/>
      <c r="H18" s="249"/>
      <c r="I18" s="439">
        <v>4839.520510233715</v>
      </c>
      <c r="J18" s="249"/>
      <c r="K18" s="249">
        <v>762.03595478158445</v>
      </c>
      <c r="L18" s="249">
        <v>1068.7330655320006</v>
      </c>
      <c r="M18" s="249">
        <v>3160.7229539485043</v>
      </c>
      <c r="N18" s="249">
        <v>4304.6921998628995</v>
      </c>
      <c r="O18" s="439">
        <v>3516.3018756818469</v>
      </c>
      <c r="P18" s="249"/>
      <c r="Q18" s="249">
        <v>5100.6116228776982</v>
      </c>
      <c r="R18" s="249">
        <v>3662.1885948339195</v>
      </c>
      <c r="S18" s="249">
        <v>7744.8340630615312</v>
      </c>
      <c r="T18" s="249">
        <v>7765.6205124975932</v>
      </c>
      <c r="U18" s="439">
        <v>8355.8223859155623</v>
      </c>
      <c r="V18" s="248"/>
      <c r="W18" s="249"/>
      <c r="X18" s="249"/>
      <c r="Y18" s="249"/>
      <c r="Z18" s="249"/>
      <c r="AA18" s="249"/>
      <c r="AB18" s="249"/>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row>
    <row r="19" spans="1:71" s="235" customFormat="1" ht="15.75" x14ac:dyDescent="0.25">
      <c r="A19" s="233"/>
      <c r="B19" s="233"/>
      <c r="C19" s="236" t="str">
        <f>IF(Contents!$B$8="English",E58,C58)</f>
        <v>Возврат капитала</v>
      </c>
      <c r="D19" s="394" t="str">
        <f>IF(Contents!$B$8="English",G71,D71)</f>
        <v>млн руб.</v>
      </c>
      <c r="E19" s="248">
        <v>4404.731240669902</v>
      </c>
      <c r="F19" s="248">
        <v>4667.7350285283082</v>
      </c>
      <c r="G19" s="248">
        <v>5417.3232665853329</v>
      </c>
      <c r="H19" s="248">
        <v>6010.7088652251687</v>
      </c>
      <c r="I19" s="438">
        <v>6409.113232842632</v>
      </c>
      <c r="J19" s="248"/>
      <c r="K19" s="248">
        <v>2784.9250611118491</v>
      </c>
      <c r="L19" s="248">
        <v>2917.4832999999999</v>
      </c>
      <c r="M19" s="248">
        <v>3103.549</v>
      </c>
      <c r="N19" s="420" t="s">
        <v>431</v>
      </c>
      <c r="O19" s="438" t="s">
        <v>431</v>
      </c>
      <c r="P19" s="248"/>
      <c r="Q19" s="248">
        <v>7189.6563017817516</v>
      </c>
      <c r="R19" s="248">
        <v>7585.2183285283081</v>
      </c>
      <c r="S19" s="248">
        <v>8520.8722665853329</v>
      </c>
      <c r="T19" s="248">
        <v>6010.7088652251687</v>
      </c>
      <c r="U19" s="438">
        <v>6409.113232842632</v>
      </c>
      <c r="V19" s="248"/>
      <c r="W19" s="248"/>
      <c r="X19" s="248"/>
      <c r="Y19" s="248"/>
      <c r="Z19" s="248"/>
      <c r="AA19" s="249"/>
      <c r="AB19" s="249"/>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row>
    <row r="20" spans="1:71" s="235" customFormat="1" ht="15.75" x14ac:dyDescent="0.25">
      <c r="A20" s="233"/>
      <c r="B20" s="233"/>
      <c r="C20" s="236" t="str">
        <f>IF(Contents!$B$8="English",E59,C59)</f>
        <v>Доход на капитал</v>
      </c>
      <c r="D20" s="394" t="str">
        <f>IF(Contents!$B$8="English",G71,D71)</f>
        <v>млн руб.</v>
      </c>
      <c r="E20" s="248">
        <v>5800.455120138844</v>
      </c>
      <c r="F20" s="248">
        <v>6670.9574583658259</v>
      </c>
      <c r="G20" s="248">
        <v>11598.360789987244</v>
      </c>
      <c r="H20" s="248">
        <v>13347.856833960634</v>
      </c>
      <c r="I20" s="438">
        <v>14550.252973789658</v>
      </c>
      <c r="J20" s="248"/>
      <c r="K20" s="248">
        <v>3025.5250372854193</v>
      </c>
      <c r="L20" s="248">
        <v>3433.8486000000003</v>
      </c>
      <c r="M20" s="248">
        <v>4641.0820000000003</v>
      </c>
      <c r="N20" s="420" t="s">
        <v>431</v>
      </c>
      <c r="O20" s="438" t="s">
        <v>431</v>
      </c>
      <c r="P20" s="248"/>
      <c r="Q20" s="248">
        <v>8825.9801574242629</v>
      </c>
      <c r="R20" s="248">
        <v>10104.806058365826</v>
      </c>
      <c r="S20" s="248">
        <v>16239.442789987244</v>
      </c>
      <c r="T20" s="248">
        <v>13347.856833960634</v>
      </c>
      <c r="U20" s="438">
        <v>14550.252973789658</v>
      </c>
      <c r="V20" s="248"/>
      <c r="W20" s="248"/>
      <c r="X20" s="248"/>
      <c r="Y20" s="248"/>
      <c r="Z20" s="248"/>
      <c r="AA20" s="249"/>
      <c r="AB20" s="249"/>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row>
    <row r="21" spans="1:71" s="235" customFormat="1" ht="15.75" x14ac:dyDescent="0.25">
      <c r="A21" s="233"/>
      <c r="B21" s="233"/>
      <c r="C21" s="236" t="str">
        <f>IF(Contents!$B$8="English",E60,C60)</f>
        <v>Сглаживание</v>
      </c>
      <c r="D21" s="394" t="str">
        <f>IF(Contents!$B$8="English",G71,D71)</f>
        <v>млн руб.</v>
      </c>
      <c r="E21" s="248">
        <v>5200.5871987746186</v>
      </c>
      <c r="F21" s="248">
        <v>7305.2741692071595</v>
      </c>
      <c r="G21" s="248">
        <v>3473.8434761768017</v>
      </c>
      <c r="H21" s="248">
        <v>0</v>
      </c>
      <c r="I21" s="438" t="s">
        <v>431</v>
      </c>
      <c r="J21" s="248"/>
      <c r="K21" s="248">
        <v>189.20860000000002</v>
      </c>
      <c r="L21" s="248">
        <v>2660.279</v>
      </c>
      <c r="M21" s="248">
        <v>-1006.8280500654718</v>
      </c>
      <c r="N21" s="420" t="s">
        <v>431</v>
      </c>
      <c r="O21" s="438" t="s">
        <v>431</v>
      </c>
      <c r="P21" s="248"/>
      <c r="Q21" s="248">
        <v>5389.7957987746186</v>
      </c>
      <c r="R21" s="248">
        <v>9965.55316920716</v>
      </c>
      <c r="S21" s="248">
        <v>2467.0154261113298</v>
      </c>
      <c r="T21" s="420" t="s">
        <v>431</v>
      </c>
      <c r="U21" s="438" t="s">
        <v>431</v>
      </c>
      <c r="V21" s="248"/>
      <c r="W21" s="248"/>
      <c r="X21" s="248"/>
      <c r="Y21" s="248"/>
      <c r="Z21" s="248"/>
      <c r="AA21" s="249"/>
      <c r="AB21" s="249"/>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row>
    <row r="22" spans="1:71" s="235" customFormat="1" ht="15.75" x14ac:dyDescent="0.25">
      <c r="A22" s="233"/>
      <c r="B22" s="233"/>
      <c r="C22" s="236" t="str">
        <f>IF(Contents!$B$8="English",E61,C61)</f>
        <v>Итого НВВ</v>
      </c>
      <c r="D22" s="394" t="str">
        <f>IF(Contents!$B$8="English",G71,D71)</f>
        <v>млн руб.</v>
      </c>
      <c r="E22" s="248">
        <v>45652.696208710477</v>
      </c>
      <c r="F22" s="248">
        <v>49090.02293405254</v>
      </c>
      <c r="G22" s="248">
        <v>51602.937405204277</v>
      </c>
      <c r="H22" s="248">
        <v>51260.769797506553</v>
      </c>
      <c r="I22" s="438">
        <v>52556.07511418678</v>
      </c>
      <c r="J22" s="248"/>
      <c r="K22" s="248">
        <v>25912.376701001973</v>
      </c>
      <c r="L22" s="248">
        <v>30168.022818684556</v>
      </c>
      <c r="M22" s="248">
        <v>32220.838662164235</v>
      </c>
      <c r="N22" s="248">
        <v>33134.594842516184</v>
      </c>
      <c r="O22" s="438">
        <v>33873.046070219418</v>
      </c>
      <c r="P22" s="248"/>
      <c r="Q22" s="248">
        <v>71565.072909712442</v>
      </c>
      <c r="R22" s="248">
        <v>79258.045752737089</v>
      </c>
      <c r="S22" s="248">
        <v>83819.367727368517</v>
      </c>
      <c r="T22" s="248">
        <v>84395.364640022744</v>
      </c>
      <c r="U22" s="438">
        <v>86429.121184406191</v>
      </c>
      <c r="V22" s="248"/>
      <c r="W22" s="248"/>
      <c r="X22" s="248"/>
      <c r="Y22" s="248"/>
      <c r="Z22" s="248"/>
      <c r="AA22" s="249"/>
      <c r="AB22" s="249"/>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row>
    <row r="23" spans="1:71" s="235" customFormat="1" ht="15.75" x14ac:dyDescent="0.25">
      <c r="A23" s="233"/>
      <c r="B23" s="233"/>
      <c r="C23" s="237" t="str">
        <f>IF(Contents!$B$8="English",E62,C62)</f>
        <v>Полезный отпуск электроэнергии</v>
      </c>
      <c r="D23" s="229" t="str">
        <f>IF(Contents!$B$8="English","thou kWh","тыс. кВтч")</f>
        <v>тыс. кВтч</v>
      </c>
      <c r="E23" s="249">
        <v>19004.362327258488</v>
      </c>
      <c r="F23" s="249">
        <v>19229.819534999995</v>
      </c>
      <c r="G23" s="249">
        <v>19301.44230375284</v>
      </c>
      <c r="H23" s="249">
        <v>19010.291151999998</v>
      </c>
      <c r="I23" s="439">
        <v>19348.2402</v>
      </c>
      <c r="J23" s="249"/>
      <c r="K23" s="249">
        <v>12875.744202064516</v>
      </c>
      <c r="L23" s="249">
        <v>13335.174147000002</v>
      </c>
      <c r="M23" s="249">
        <v>13714.172721278457</v>
      </c>
      <c r="N23" s="249">
        <v>13513.556995078556</v>
      </c>
      <c r="O23" s="439">
        <v>13498.299999999997</v>
      </c>
      <c r="P23" s="249"/>
      <c r="Q23" s="249">
        <v>31880.106529323006</v>
      </c>
      <c r="R23" s="249">
        <v>32564.993681999997</v>
      </c>
      <c r="S23" s="249">
        <v>33015.615025031293</v>
      </c>
      <c r="T23" s="249">
        <v>32523.848147078555</v>
      </c>
      <c r="U23" s="439">
        <v>32846.540199999996</v>
      </c>
      <c r="V23" s="248"/>
      <c r="W23" s="249"/>
      <c r="X23" s="249"/>
      <c r="Y23" s="249"/>
      <c r="Z23" s="249"/>
      <c r="AA23" s="249"/>
      <c r="AB23" s="249"/>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row>
    <row r="24" spans="1:71" s="235" customFormat="1" ht="15.75" x14ac:dyDescent="0.25">
      <c r="A24" s="233"/>
      <c r="B24" s="233"/>
      <c r="C24" s="236" t="str">
        <f>IF(Contents!$B$8="English",E63,C63)</f>
        <v>Среднеотпускной тариф на передачу э/э**</v>
      </c>
      <c r="D24" s="394" t="str">
        <f>IF(Contents!$B$8="English","kop./kWh","коп./кВтч")</f>
        <v>коп./кВтч</v>
      </c>
      <c r="E24" s="250">
        <v>240.22219437076052</v>
      </c>
      <c r="F24" s="250">
        <v>255.28072608640088</v>
      </c>
      <c r="G24" s="250">
        <v>267.35275319384272</v>
      </c>
      <c r="H24" s="250">
        <v>269.6474735060205</v>
      </c>
      <c r="I24" s="440">
        <v>271.63232713116088</v>
      </c>
      <c r="J24" s="250"/>
      <c r="K24" s="250">
        <v>201.2495456134267</v>
      </c>
      <c r="L24" s="250">
        <v>226.22893774110494</v>
      </c>
      <c r="M24" s="250">
        <v>234.94555097859782</v>
      </c>
      <c r="N24" s="250">
        <v>245.19521288572159</v>
      </c>
      <c r="O24" s="440">
        <v>250.94305260825013</v>
      </c>
      <c r="P24" s="250"/>
      <c r="Q24" s="250">
        <v>224.48191270593028</v>
      </c>
      <c r="R24" s="250">
        <v>243.38418894441932</v>
      </c>
      <c r="S24" s="250">
        <v>253.87795339817109</v>
      </c>
      <c r="T24" s="250">
        <v>259.48763583685445</v>
      </c>
      <c r="U24" s="440">
        <v>263.1300607557024</v>
      </c>
      <c r="V24" s="248"/>
      <c r="W24" s="250"/>
      <c r="X24" s="250"/>
      <c r="Y24" s="250"/>
      <c r="Z24" s="250"/>
      <c r="AA24" s="229"/>
      <c r="AB24" s="249"/>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row>
    <row r="25" spans="1:71" ht="15.75" x14ac:dyDescent="0.25">
      <c r="C25" s="254" t="str">
        <f>IF(Contents!$B$8="English",E64,C64)</f>
        <v>Прирост к предыдущему году</v>
      </c>
      <c r="D25" s="395" t="s">
        <v>67</v>
      </c>
      <c r="E25" s="252">
        <v>9.7074570039168862E-2</v>
      </c>
      <c r="F25" s="252">
        <v>6.2685846972153181E-2</v>
      </c>
      <c r="G25" s="252">
        <v>4.7289222702054046E-2</v>
      </c>
      <c r="H25" s="252">
        <v>8.5831183137810019E-3</v>
      </c>
      <c r="I25" s="441">
        <v>7.3609205357381136E-3</v>
      </c>
      <c r="J25" s="252"/>
      <c r="K25" s="252">
        <v>0.13115571893266753</v>
      </c>
      <c r="L25" s="252">
        <v>0.12412148336304951</v>
      </c>
      <c r="M25" s="252">
        <v>3.8387966250179151E-2</v>
      </c>
      <c r="N25" s="252">
        <v>4.3625690567162145E-2</v>
      </c>
      <c r="O25" s="441">
        <v>2.2540110688826553E-2</v>
      </c>
      <c r="P25" s="252"/>
      <c r="Q25" s="252">
        <v>0.10886149822245272</v>
      </c>
      <c r="R25" s="252">
        <v>8.4204005617374067E-2</v>
      </c>
      <c r="S25" s="252">
        <v>4.3116048331915957E-2</v>
      </c>
      <c r="T25" s="252">
        <v>2.2095981016064803E-2</v>
      </c>
      <c r="U25" s="441">
        <v>1.4036988340893508E-2</v>
      </c>
      <c r="V25" s="248"/>
      <c r="W25" s="251"/>
      <c r="X25" s="251"/>
      <c r="Y25" s="251"/>
      <c r="Z25" s="251"/>
      <c r="AA25" s="249"/>
      <c r="AB25" s="249"/>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row>
    <row r="26" spans="1:71" ht="15.75" x14ac:dyDescent="0.25">
      <c r="C26" s="238"/>
      <c r="D26" s="238"/>
      <c r="E26" s="331"/>
      <c r="F26" s="331"/>
      <c r="G26" s="331"/>
      <c r="H26" s="331"/>
      <c r="I26" s="331"/>
      <c r="J26" s="332"/>
      <c r="K26" s="332"/>
      <c r="L26" s="332"/>
      <c r="M26" s="332"/>
      <c r="N26" s="332"/>
      <c r="O26" s="332"/>
      <c r="P26" s="239"/>
      <c r="Q26" s="239"/>
      <c r="R26" s="239"/>
      <c r="S26" s="239"/>
      <c r="T26" s="239"/>
      <c r="U26" s="239"/>
      <c r="V26" s="239"/>
      <c r="W26" s="239"/>
      <c r="X26" s="239"/>
      <c r="Y26" s="239"/>
      <c r="Z26" s="239"/>
      <c r="AA26" s="239"/>
      <c r="AB26" s="239"/>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row>
    <row r="27" spans="1:71" ht="15.75" x14ac:dyDescent="0.25">
      <c r="C27" s="228" t="str">
        <f>IF(Contents!$B$8="English",E65,C65)</f>
        <v>* с учетом пересмотра долгосрочных параметров регулирования в результате консолидации ДЗО</v>
      </c>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row>
    <row r="28" spans="1:71" ht="15.75" x14ac:dyDescent="0.25">
      <c r="C28" s="228" t="str">
        <f>IF(Contents!$B$8="English",E66,C66)</f>
        <v>** по Ленинградской области с учетом потребителей, опосредованно присоединенных к электрическим сетям сетевой организации через энергетические установки производителей электрической энергии</v>
      </c>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row>
    <row r="29" spans="1:71" ht="15.75" x14ac:dyDescent="0.25">
      <c r="C29" s="247"/>
      <c r="D29" s="227"/>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row>
    <row r="30" spans="1:71" ht="18" customHeight="1" x14ac:dyDescent="0.25">
      <c r="C30" s="227" t="str">
        <f>IF(Contents!$B$8="English",E68,C68)</f>
        <v>Справочно</v>
      </c>
      <c r="D30" s="255"/>
      <c r="E30" s="492" t="str">
        <f>IF(Contents!$B$8="English","Saint Petersburg","Санкт-Петербург")</f>
        <v>Санкт-Петербург</v>
      </c>
      <c r="F30" s="492"/>
      <c r="G30" s="492"/>
      <c r="H30" s="492"/>
      <c r="I30" s="492"/>
      <c r="J30" s="310"/>
      <c r="K30" s="493" t="str">
        <f>IF(Contents!$B$8="English","Leningrad region","Ленинградская область")</f>
        <v>Ленинградская область</v>
      </c>
      <c r="L30" s="493"/>
      <c r="M30" s="493"/>
      <c r="N30" s="493"/>
      <c r="O30" s="493"/>
      <c r="P30" s="310"/>
      <c r="Q30" s="493"/>
      <c r="R30" s="493"/>
      <c r="S30" s="493"/>
      <c r="T30" s="493"/>
      <c r="U30" s="493"/>
      <c r="V30" s="248"/>
      <c r="W30" s="248"/>
      <c r="X30" s="248"/>
      <c r="Y30" s="248"/>
      <c r="Z30" s="248"/>
      <c r="AA30" s="248"/>
      <c r="AB30" s="248"/>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row>
    <row r="31" spans="1:71" ht="18" customHeight="1" x14ac:dyDescent="0.25">
      <c r="C31" s="256"/>
      <c r="D31" s="437" t="str">
        <f>IF(Contents!$B$8="English",G70,D70)</f>
        <v>Ед. изм.</v>
      </c>
      <c r="E31" s="362">
        <v>2018</v>
      </c>
      <c r="F31" s="362">
        <v>2019</v>
      </c>
      <c r="G31" s="362" t="s">
        <v>374</v>
      </c>
      <c r="H31" s="362">
        <v>2021</v>
      </c>
      <c r="I31" s="363">
        <v>2022</v>
      </c>
      <c r="J31" s="362"/>
      <c r="K31" s="362">
        <v>2018</v>
      </c>
      <c r="L31" s="362">
        <v>2019</v>
      </c>
      <c r="M31" s="362">
        <v>2020</v>
      </c>
      <c r="N31" s="362">
        <v>2021</v>
      </c>
      <c r="O31" s="363">
        <v>2022</v>
      </c>
      <c r="P31" s="362"/>
      <c r="Q31" s="362"/>
      <c r="R31" s="362"/>
      <c r="S31" s="362"/>
      <c r="T31" s="362"/>
      <c r="U31" s="362"/>
      <c r="V31" s="248"/>
      <c r="W31" s="248"/>
      <c r="X31" s="248"/>
      <c r="Y31" s="248"/>
      <c r="Z31" s="248"/>
      <c r="AA31" s="248"/>
      <c r="AB31" s="248"/>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row>
    <row r="32" spans="1:71" ht="27" customHeight="1" x14ac:dyDescent="0.25">
      <c r="C32" s="241" t="str">
        <f>IF(Contents!$B$8="English",E71,C71)</f>
        <v>Величина инвестированного капитала на начало года (полная стоимость)</v>
      </c>
      <c r="D32" s="229" t="str">
        <f>IF(Contents!$B$8="English",G71,D71)</f>
        <v>млн руб.</v>
      </c>
      <c r="E32" s="249">
        <v>150437.33172977448</v>
      </c>
      <c r="F32" s="249">
        <v>161373.7762460052</v>
      </c>
      <c r="G32" s="249">
        <v>187659.75130772288</v>
      </c>
      <c r="H32" s="249">
        <v>204913.27928773794</v>
      </c>
      <c r="I32" s="439">
        <v>210419.77641350109</v>
      </c>
      <c r="J32" s="249"/>
      <c r="K32" s="249">
        <v>98177.725912927126</v>
      </c>
      <c r="L32" s="249">
        <v>104285.59113700084</v>
      </c>
      <c r="M32" s="249">
        <v>108873.02400700924</v>
      </c>
      <c r="N32" s="395" t="s">
        <v>431</v>
      </c>
      <c r="O32" s="439" t="s">
        <v>431</v>
      </c>
      <c r="P32" s="249"/>
      <c r="Q32" s="249"/>
      <c r="R32" s="249"/>
      <c r="S32" s="249"/>
      <c r="T32" s="426"/>
      <c r="V32" s="248"/>
      <c r="W32" s="248"/>
      <c r="X32" s="248"/>
      <c r="Y32" s="248"/>
      <c r="Z32" s="248"/>
      <c r="AA32" s="248"/>
      <c r="AB32" s="248"/>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row>
    <row r="33" spans="1:71" ht="27" customHeight="1" x14ac:dyDescent="0.25">
      <c r="C33" s="241" t="str">
        <f>IF(Contents!$B$8="English",E72,C72)</f>
        <v>Величина инвестированного капитала на начало года (остаточная стоимость)</v>
      </c>
      <c r="D33" s="229" t="str">
        <f>IF(Contents!$B$8="English",G72,D72)</f>
        <v>млн руб.</v>
      </c>
      <c r="E33" s="249">
        <v>74484.822677742661</v>
      </c>
      <c r="F33" s="249">
        <v>81325.577687169862</v>
      </c>
      <c r="G33" s="249">
        <v>105439.64358839019</v>
      </c>
      <c r="H33" s="249">
        <v>117808.26576889303</v>
      </c>
      <c r="I33" s="439">
        <v>126583.58507599834</v>
      </c>
      <c r="J33" s="249"/>
      <c r="K33" s="249">
        <v>37090.35312236454</v>
      </c>
      <c r="L33" s="249">
        <v>40401.548990482668</v>
      </c>
      <c r="M33" s="249">
        <v>42079.856962661688</v>
      </c>
      <c r="N33" s="395" t="s">
        <v>431</v>
      </c>
      <c r="O33" s="439" t="s">
        <v>431</v>
      </c>
      <c r="P33" s="249"/>
      <c r="Q33" s="249"/>
      <c r="R33" s="249"/>
      <c r="S33" s="249"/>
      <c r="T33" s="426"/>
      <c r="V33" s="248"/>
      <c r="W33" s="248"/>
      <c r="X33" s="248"/>
      <c r="Y33" s="248"/>
      <c r="Z33" s="248"/>
      <c r="AA33" s="248"/>
      <c r="AB33" s="248"/>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row>
    <row r="34" spans="1:71" ht="27" customHeight="1" x14ac:dyDescent="0.25">
      <c r="C34" s="241" t="str">
        <f>IF(Contents!$B$8="English",E73,C73)</f>
        <v>Норма доходности на инвестированный капитал ("старый")</v>
      </c>
      <c r="D34" s="229" t="str">
        <f>IF(Contents!$B$8="English",G73,D73)</f>
        <v>%</v>
      </c>
      <c r="E34" s="252">
        <v>0.01</v>
      </c>
      <c r="F34" s="252">
        <v>0.01</v>
      </c>
      <c r="G34" s="252">
        <v>0.11</v>
      </c>
      <c r="H34" s="252">
        <v>0.11</v>
      </c>
      <c r="I34" s="441">
        <v>0.11</v>
      </c>
      <c r="J34" s="252"/>
      <c r="K34" s="252">
        <v>0.01</v>
      </c>
      <c r="L34" s="252">
        <v>0.01</v>
      </c>
      <c r="M34" s="252">
        <v>0.11</v>
      </c>
      <c r="N34" s="395" t="s">
        <v>431</v>
      </c>
      <c r="O34" s="441" t="s">
        <v>431</v>
      </c>
      <c r="P34" s="252"/>
      <c r="Q34" s="252"/>
      <c r="R34" s="252"/>
      <c r="S34" s="252"/>
      <c r="T34" s="423"/>
      <c r="V34" s="248"/>
      <c r="W34" s="248"/>
      <c r="X34" s="248"/>
      <c r="Y34" s="248"/>
      <c r="Z34" s="248"/>
      <c r="AA34" s="248"/>
      <c r="AB34" s="248"/>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row>
    <row r="35" spans="1:71" ht="27" customHeight="1" x14ac:dyDescent="0.25">
      <c r="C35" s="241" t="str">
        <f>IF(Contents!$B$8="English",E74,C74)</f>
        <v>Норма доходности на инвестированный капитал ("новый")</v>
      </c>
      <c r="D35" s="229" t="str">
        <f>IF(Contents!$B$8="English",G74,D74)</f>
        <v>%</v>
      </c>
      <c r="E35" s="252">
        <v>0.11</v>
      </c>
      <c r="F35" s="252">
        <v>0.11</v>
      </c>
      <c r="G35" s="252">
        <v>0.11</v>
      </c>
      <c r="H35" s="252">
        <v>0.11</v>
      </c>
      <c r="I35" s="441">
        <v>0.11</v>
      </c>
      <c r="J35" s="252"/>
      <c r="K35" s="252">
        <v>0.11</v>
      </c>
      <c r="L35" s="252">
        <v>0.11</v>
      </c>
      <c r="M35" s="252">
        <v>0.11</v>
      </c>
      <c r="N35" s="395" t="s">
        <v>431</v>
      </c>
      <c r="O35" s="441" t="s">
        <v>431</v>
      </c>
      <c r="P35" s="252"/>
      <c r="Q35" s="252"/>
      <c r="R35" s="252"/>
      <c r="S35" s="252"/>
      <c r="T35" s="423"/>
      <c r="V35" s="248"/>
      <c r="W35" s="248"/>
      <c r="X35" s="248"/>
      <c r="Y35" s="248"/>
      <c r="Z35" s="248"/>
      <c r="AA35" s="248"/>
      <c r="AB35" s="248"/>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row>
    <row r="36" spans="1:71" s="235" customFormat="1" ht="27.75" customHeight="1" x14ac:dyDescent="0.25">
      <c r="A36" s="233"/>
      <c r="B36" s="233"/>
      <c r="C36" s="242" t="str">
        <f>IF(Contents!$B$8="English",E75,C75)</f>
        <v>Уровень надежности реализуемых услуг</v>
      </c>
      <c r="D36" s="229"/>
      <c r="E36" s="243">
        <v>1.8217807999999999E-2</v>
      </c>
      <c r="F36" s="243">
        <v>1.7944541000000001E-2</v>
      </c>
      <c r="G36" s="243">
        <v>1.7675373000000001E-2</v>
      </c>
      <c r="H36" s="421" t="s">
        <v>431</v>
      </c>
      <c r="I36" s="442" t="s">
        <v>431</v>
      </c>
      <c r="J36" s="243"/>
      <c r="K36" s="243">
        <v>1.8217807999999999E-2</v>
      </c>
      <c r="L36" s="243">
        <v>1.7944541000000001E-2</v>
      </c>
      <c r="M36" s="243">
        <v>1.7675373000000001E-2</v>
      </c>
      <c r="N36" s="423" t="s">
        <v>431</v>
      </c>
      <c r="O36" s="442" t="s">
        <v>431</v>
      </c>
      <c r="P36" s="243"/>
      <c r="Q36" s="243"/>
      <c r="R36" s="243"/>
      <c r="S36" s="243"/>
      <c r="T36" s="423"/>
      <c r="V36" s="248"/>
      <c r="W36" s="248"/>
      <c r="X36" s="248"/>
      <c r="Y36" s="248"/>
      <c r="Z36" s="248"/>
      <c r="AA36" s="248"/>
      <c r="AB36" s="248"/>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row>
    <row r="37" spans="1:71" s="235" customFormat="1" ht="50.25" customHeight="1" x14ac:dyDescent="0.25">
      <c r="A37" s="233"/>
      <c r="B37" s="233"/>
      <c r="C37" s="242" t="str">
        <f>IF(Contents!$B$8="English",E76,C76)</f>
        <v>Показатель средней продолжительности прекращения передачи электрической энергии на точку поставки</v>
      </c>
      <c r="D37" s="229" t="str">
        <f>IF(Contents!$B$8="English","hour",D76)</f>
        <v>час</v>
      </c>
      <c r="E37" s="243" t="s">
        <v>431</v>
      </c>
      <c r="F37" s="243" t="s">
        <v>431</v>
      </c>
      <c r="G37" s="243" t="s">
        <v>431</v>
      </c>
      <c r="H37" s="422">
        <v>6.1899999999999997E-2</v>
      </c>
      <c r="I37" s="443">
        <v>6.0999999999999999E-2</v>
      </c>
      <c r="J37" s="243"/>
      <c r="K37" s="243" t="s">
        <v>431</v>
      </c>
      <c r="L37" s="243" t="s">
        <v>431</v>
      </c>
      <c r="M37" s="243" t="s">
        <v>431</v>
      </c>
      <c r="N37" s="422">
        <v>1.2242999999999999</v>
      </c>
      <c r="O37" s="443">
        <v>1.206</v>
      </c>
      <c r="P37" s="243"/>
      <c r="Q37" s="243"/>
      <c r="R37" s="243"/>
      <c r="S37" s="243"/>
      <c r="T37" s="423"/>
      <c r="V37" s="248"/>
      <c r="W37" s="248"/>
      <c r="X37" s="248"/>
      <c r="Y37" s="248"/>
      <c r="Z37" s="248"/>
      <c r="AA37" s="248"/>
      <c r="AB37" s="248"/>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row>
    <row r="38" spans="1:71" s="235" customFormat="1" ht="45.95" customHeight="1" x14ac:dyDescent="0.25">
      <c r="A38" s="233"/>
      <c r="B38" s="233"/>
      <c r="C38" s="242" t="str">
        <f>IF(Contents!$B$8="English",E77,C77)</f>
        <v>Показатель средней частоты прекращения передачи электрической энергии на точку поставки</v>
      </c>
      <c r="D38" s="229" t="str">
        <f>IF(Contents!$B$8="English","pcs",D77)</f>
        <v>шт.</v>
      </c>
      <c r="E38" s="243" t="s">
        <v>431</v>
      </c>
      <c r="F38" s="243" t="s">
        <v>431</v>
      </c>
      <c r="G38" s="243" t="s">
        <v>431</v>
      </c>
      <c r="H38" s="422">
        <v>6.9099999999999995E-2</v>
      </c>
      <c r="I38" s="443">
        <v>6.8099999999999994E-2</v>
      </c>
      <c r="J38" s="243"/>
      <c r="K38" s="243" t="s">
        <v>431</v>
      </c>
      <c r="L38" s="243" t="s">
        <v>431</v>
      </c>
      <c r="M38" s="243" t="s">
        <v>431</v>
      </c>
      <c r="N38" s="422">
        <v>0.63749999999999996</v>
      </c>
      <c r="O38" s="443">
        <v>0.62790000000000001</v>
      </c>
      <c r="P38" s="243"/>
      <c r="Q38" s="243"/>
      <c r="R38" s="243"/>
      <c r="S38" s="243"/>
      <c r="T38" s="423"/>
      <c r="V38" s="248"/>
      <c r="W38" s="248"/>
      <c r="X38" s="248"/>
      <c r="Y38" s="248"/>
      <c r="Z38" s="248"/>
      <c r="AA38" s="248"/>
      <c r="AB38" s="248"/>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row>
    <row r="39" spans="1:71" s="235" customFormat="1" ht="27" customHeight="1" x14ac:dyDescent="0.25">
      <c r="A39" s="233"/>
      <c r="B39" s="233"/>
      <c r="C39" s="242" t="str">
        <f>IF(Contents!$B$8="English",E78,C78)</f>
        <v>Уровень качества реализуемых товаров и услуг</v>
      </c>
      <c r="D39" s="229"/>
      <c r="E39" s="243">
        <v>1.0102</v>
      </c>
      <c r="F39" s="243">
        <v>1.0102</v>
      </c>
      <c r="G39" s="243">
        <v>1.0102</v>
      </c>
      <c r="H39" s="243">
        <v>1.0256000000000001</v>
      </c>
      <c r="I39" s="444">
        <v>1.0103</v>
      </c>
      <c r="J39" s="243"/>
      <c r="K39" s="243">
        <v>1.0102</v>
      </c>
      <c r="L39" s="243">
        <v>1.0102</v>
      </c>
      <c r="M39" s="243">
        <v>1.0102</v>
      </c>
      <c r="N39" s="424">
        <v>1.1077999999999999</v>
      </c>
      <c r="O39" s="444">
        <v>1.0911999999999999</v>
      </c>
      <c r="P39" s="243"/>
      <c r="Q39" s="243"/>
      <c r="R39" s="243"/>
      <c r="S39" s="243"/>
      <c r="T39" s="423"/>
      <c r="V39" s="248"/>
      <c r="W39" s="248"/>
      <c r="X39" s="248"/>
      <c r="Y39" s="248"/>
      <c r="Z39" s="248"/>
      <c r="AA39" s="248"/>
      <c r="AB39" s="248"/>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1"/>
      <c r="BR39" s="231"/>
      <c r="BS39" s="231"/>
    </row>
    <row r="40" spans="1:71" ht="16.5" customHeight="1" x14ac:dyDescent="0.25">
      <c r="C40" s="241" t="str">
        <f>IF(Contents!$B$8="English",E79,C79)</f>
        <v>Величина ЧОК</v>
      </c>
      <c r="D40" s="229" t="str">
        <f>IF(Contents!$B$8="English",G79,D79)</f>
        <v>млн руб.</v>
      </c>
      <c r="E40" s="249">
        <v>584.74917898838009</v>
      </c>
      <c r="F40" s="249">
        <v>661.10255400680114</v>
      </c>
      <c r="G40" s="249">
        <v>807.68</v>
      </c>
      <c r="H40" s="249">
        <v>849.79502552030669</v>
      </c>
      <c r="I40" s="439">
        <v>839.54233366232768</v>
      </c>
      <c r="J40" s="249"/>
      <c r="K40" s="249">
        <v>229.85498197918992</v>
      </c>
      <c r="L40" s="249">
        <v>303.77</v>
      </c>
      <c r="M40" s="249">
        <v>404.28</v>
      </c>
      <c r="N40" s="395" t="s">
        <v>431</v>
      </c>
      <c r="O40" s="439" t="s">
        <v>431</v>
      </c>
      <c r="P40" s="249"/>
      <c r="Q40" s="249"/>
      <c r="R40" s="249"/>
      <c r="S40" s="249"/>
      <c r="T40" s="423"/>
      <c r="V40" s="248"/>
      <c r="W40" s="248"/>
      <c r="X40" s="248"/>
      <c r="Y40" s="248"/>
      <c r="Z40" s="248"/>
      <c r="AA40" s="248"/>
      <c r="AB40" s="248"/>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1"/>
      <c r="BR40" s="231"/>
      <c r="BS40" s="231"/>
    </row>
    <row r="41" spans="1:71" ht="31.5" customHeight="1" x14ac:dyDescent="0.25">
      <c r="C41" s="241" t="str">
        <f>IF(Contents!$B$8="English",E80,C80)</f>
        <v>Индекс эффективности подконтрольных расходов</v>
      </c>
      <c r="D41" s="229" t="str">
        <f>IF(Contents!$B$8="English",G80,D80)</f>
        <v>%</v>
      </c>
      <c r="E41" s="252">
        <v>0.03</v>
      </c>
      <c r="F41" s="252">
        <v>0.03</v>
      </c>
      <c r="G41" s="252">
        <v>0.03</v>
      </c>
      <c r="H41" s="252">
        <v>0.01</v>
      </c>
      <c r="I41" s="441">
        <v>0.01</v>
      </c>
      <c r="J41" s="252"/>
      <c r="K41" s="252">
        <v>0.03</v>
      </c>
      <c r="L41" s="252">
        <v>0.03</v>
      </c>
      <c r="M41" s="252">
        <v>0.03</v>
      </c>
      <c r="N41" s="423">
        <v>0.02</v>
      </c>
      <c r="O41" s="441">
        <v>0.02</v>
      </c>
      <c r="P41" s="252"/>
      <c r="Q41" s="252"/>
      <c r="R41" s="252"/>
      <c r="S41" s="252"/>
      <c r="T41" s="423"/>
      <c r="V41" s="248"/>
      <c r="W41" s="248"/>
      <c r="X41" s="248"/>
      <c r="Y41" s="248"/>
      <c r="Z41" s="248"/>
      <c r="AA41" s="248"/>
      <c r="AB41" s="248"/>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1"/>
      <c r="BR41" s="231"/>
      <c r="BS41" s="231"/>
    </row>
    <row r="42" spans="1:71" ht="15.75" customHeight="1" x14ac:dyDescent="0.25">
      <c r="C42" s="241" t="str">
        <f>IF(Contents!$B$8="English",E81,C81)</f>
        <v>Норматив потерь электроэнергии</v>
      </c>
      <c r="D42" s="229" t="str">
        <f>IF(Contents!$B$8="English",G81,D81)</f>
        <v>%</v>
      </c>
      <c r="E42" s="253">
        <v>0.1294820950162997</v>
      </c>
      <c r="F42" s="253">
        <v>0.12938683891730057</v>
      </c>
      <c r="G42" s="253">
        <v>0.1183</v>
      </c>
      <c r="H42" s="253">
        <v>0.11828458132378256</v>
      </c>
      <c r="I42" s="445">
        <v>0.1183</v>
      </c>
      <c r="J42" s="253"/>
      <c r="K42" s="253">
        <v>0.10281375213980136</v>
      </c>
      <c r="L42" s="253">
        <v>0.10281375213980136</v>
      </c>
      <c r="M42" s="253">
        <v>0.10281375213980136</v>
      </c>
      <c r="N42" s="425">
        <v>9.7199999999999995E-2</v>
      </c>
      <c r="O42" s="445">
        <v>9.7199999999999995E-2</v>
      </c>
      <c r="P42" s="253"/>
      <c r="Q42" s="253"/>
      <c r="R42" s="253"/>
      <c r="S42" s="253"/>
      <c r="T42" s="253"/>
      <c r="V42" s="248"/>
      <c r="W42" s="248"/>
      <c r="X42" s="248"/>
      <c r="Y42" s="248"/>
      <c r="Z42" s="248"/>
      <c r="AA42" s="248"/>
      <c r="AB42" s="248"/>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row>
    <row r="43" spans="1:71" ht="15.75" x14ac:dyDescent="0.25">
      <c r="C43" s="244" t="str">
        <f>IF(Contents!$B$8="English",E83,C83)</f>
        <v>* с учетом пересмотра долгосрочных параметров регулирования в результате консолидации ДЗО</v>
      </c>
      <c r="W43" s="248"/>
      <c r="X43" s="248"/>
      <c r="Y43" s="248"/>
      <c r="Z43" s="248"/>
      <c r="AA43" s="248"/>
      <c r="AB43" s="248"/>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row>
    <row r="44" spans="1:71" ht="15.75" x14ac:dyDescent="0.25">
      <c r="C44" s="244"/>
      <c r="D44" s="244"/>
      <c r="E44" s="246"/>
      <c r="F44" s="246"/>
      <c r="G44" s="246"/>
      <c r="H44" s="246"/>
      <c r="I44" s="246"/>
      <c r="J44" s="246"/>
      <c r="K44" s="246"/>
      <c r="L44" s="246"/>
      <c r="M44" s="246"/>
      <c r="N44" s="246"/>
      <c r="O44" s="246"/>
      <c r="P44" s="246"/>
      <c r="Q44" s="246"/>
      <c r="R44" s="246"/>
      <c r="S44" s="246"/>
      <c r="T44" s="246"/>
      <c r="U44" s="246"/>
      <c r="V44" s="246"/>
      <c r="W44" s="248"/>
      <c r="X44" s="248"/>
      <c r="Y44" s="248"/>
      <c r="Z44" s="248"/>
      <c r="AA44" s="248"/>
      <c r="AB44" s="248"/>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1"/>
      <c r="BR44" s="231"/>
      <c r="BS44" s="231"/>
    </row>
    <row r="45" spans="1:71" ht="15.75" x14ac:dyDescent="0.25">
      <c r="C45" s="244"/>
      <c r="D45" s="244"/>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row>
    <row r="46" spans="1:71" s="235" customFormat="1" ht="15.75" x14ac:dyDescent="0.25">
      <c r="A46" s="233"/>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row>
    <row r="47" spans="1:71" s="273" customFormat="1" ht="15.75" x14ac:dyDescent="0.25">
      <c r="A47" s="269"/>
      <c r="B47" s="269"/>
      <c r="C47" s="495" t="s">
        <v>460</v>
      </c>
      <c r="D47" s="495"/>
      <c r="E47" s="269" t="s">
        <v>461</v>
      </c>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510"/>
      <c r="AD47" s="510"/>
      <c r="AE47" s="510"/>
      <c r="AF47" s="510"/>
      <c r="AG47" s="510"/>
      <c r="AH47" s="510"/>
      <c r="AI47" s="510"/>
      <c r="AJ47" s="510"/>
      <c r="AK47" s="510"/>
      <c r="AL47" s="510"/>
      <c r="AM47" s="510"/>
      <c r="AN47" s="510"/>
      <c r="AO47" s="510"/>
      <c r="AP47" s="510"/>
      <c r="AQ47" s="510"/>
      <c r="AR47" s="510"/>
      <c r="AS47" s="510"/>
      <c r="AT47" s="510"/>
      <c r="AU47" s="510"/>
      <c r="AV47" s="510"/>
      <c r="AW47" s="510"/>
      <c r="AX47" s="510"/>
      <c r="AY47" s="510"/>
      <c r="AZ47" s="510"/>
      <c r="BA47" s="510"/>
      <c r="BB47" s="510"/>
      <c r="BC47" s="510"/>
      <c r="BD47" s="510"/>
      <c r="BE47" s="510"/>
      <c r="BF47" s="510"/>
      <c r="BG47" s="510"/>
      <c r="BH47" s="510"/>
      <c r="BI47" s="510"/>
      <c r="BJ47" s="510"/>
      <c r="BK47" s="510"/>
      <c r="BL47" s="510"/>
      <c r="BM47" s="510"/>
      <c r="BN47" s="510"/>
      <c r="BO47" s="510"/>
      <c r="BP47" s="510"/>
      <c r="BQ47" s="510"/>
      <c r="BR47" s="510"/>
      <c r="BS47" s="510"/>
    </row>
    <row r="48" spans="1:71" s="235" customFormat="1" ht="15.75" x14ac:dyDescent="0.25">
      <c r="A48" s="233"/>
      <c r="B48" s="233"/>
      <c r="C48" s="509"/>
      <c r="D48" s="509"/>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508"/>
      <c r="AD48" s="508"/>
      <c r="AE48" s="508"/>
      <c r="AF48" s="508"/>
      <c r="AG48" s="508"/>
      <c r="AH48" s="508"/>
      <c r="AI48" s="508"/>
      <c r="AJ48" s="508"/>
      <c r="AK48" s="508"/>
      <c r="AL48" s="508"/>
      <c r="AM48" s="508"/>
      <c r="AN48" s="508"/>
      <c r="AO48" s="508"/>
      <c r="AP48" s="508"/>
      <c r="AQ48" s="508"/>
      <c r="AR48" s="508"/>
      <c r="AS48" s="508"/>
      <c r="AT48" s="508"/>
      <c r="AU48" s="508"/>
      <c r="AV48" s="508"/>
      <c r="AW48" s="508"/>
      <c r="AX48" s="508"/>
      <c r="AY48" s="508"/>
      <c r="AZ48" s="508"/>
      <c r="BA48" s="508"/>
      <c r="BB48" s="508"/>
      <c r="BC48" s="508"/>
      <c r="BD48" s="508"/>
      <c r="BE48" s="508"/>
      <c r="BF48" s="508"/>
      <c r="BG48" s="508"/>
      <c r="BH48" s="508"/>
      <c r="BI48" s="508"/>
      <c r="BJ48" s="508"/>
      <c r="BK48" s="508"/>
      <c r="BL48" s="508"/>
      <c r="BM48" s="508"/>
      <c r="BN48" s="508"/>
      <c r="BO48" s="508"/>
      <c r="BP48" s="508"/>
      <c r="BQ48" s="508"/>
      <c r="BR48" s="508"/>
      <c r="BS48" s="508"/>
    </row>
    <row r="49" spans="1:71" s="273" customFormat="1" ht="15.75" x14ac:dyDescent="0.25">
      <c r="A49" s="269"/>
      <c r="B49" s="269"/>
      <c r="C49" s="496"/>
      <c r="D49" s="497" t="s">
        <v>23</v>
      </c>
      <c r="E49" s="269"/>
      <c r="F49" s="269"/>
      <c r="G49" s="269" t="s">
        <v>176</v>
      </c>
      <c r="H49" s="269"/>
      <c r="I49" s="269"/>
      <c r="J49" s="269"/>
      <c r="K49" s="269"/>
      <c r="L49" s="269"/>
      <c r="M49" s="269"/>
      <c r="N49" s="269"/>
      <c r="O49" s="269"/>
      <c r="P49" s="269"/>
      <c r="Q49" s="269"/>
      <c r="R49" s="269"/>
      <c r="S49" s="269"/>
      <c r="T49" s="269"/>
      <c r="U49" s="269"/>
      <c r="V49" s="269"/>
      <c r="W49" s="269"/>
      <c r="X49" s="269"/>
      <c r="Y49" s="269"/>
      <c r="Z49" s="269"/>
      <c r="AA49" s="269"/>
      <c r="AB49" s="269"/>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1"/>
      <c r="BR49" s="231"/>
      <c r="BS49" s="231"/>
    </row>
    <row r="50" spans="1:71" s="273" customFormat="1" ht="15.75" x14ac:dyDescent="0.25">
      <c r="A50" s="269"/>
      <c r="B50" s="269"/>
      <c r="C50" s="498" t="s">
        <v>57</v>
      </c>
      <c r="D50" s="499" t="s">
        <v>247</v>
      </c>
      <c r="E50" s="269" t="s">
        <v>192</v>
      </c>
      <c r="F50" s="269"/>
      <c r="G50" s="269" t="s">
        <v>252</v>
      </c>
      <c r="H50" s="269"/>
      <c r="I50" s="269"/>
      <c r="J50" s="269"/>
      <c r="K50" s="269"/>
      <c r="L50" s="269"/>
      <c r="M50" s="269"/>
      <c r="N50" s="269"/>
      <c r="O50" s="269"/>
      <c r="P50" s="269"/>
      <c r="Q50" s="269"/>
      <c r="R50" s="269"/>
      <c r="S50" s="269"/>
      <c r="T50" s="269"/>
      <c r="U50" s="269"/>
      <c r="V50" s="269"/>
      <c r="W50" s="269"/>
      <c r="X50" s="269"/>
      <c r="Y50" s="269"/>
      <c r="Z50" s="269"/>
      <c r="AA50" s="269"/>
      <c r="AB50" s="269"/>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1"/>
      <c r="BR50" s="231"/>
      <c r="BS50" s="231"/>
    </row>
    <row r="51" spans="1:71" s="273" customFormat="1" ht="15.75" x14ac:dyDescent="0.25">
      <c r="A51" s="269"/>
      <c r="B51" s="269"/>
      <c r="C51" s="498" t="s">
        <v>58</v>
      </c>
      <c r="D51" s="499" t="s">
        <v>247</v>
      </c>
      <c r="E51" s="269" t="s">
        <v>223</v>
      </c>
      <c r="F51" s="269"/>
      <c r="G51" s="269" t="s">
        <v>252</v>
      </c>
      <c r="H51" s="269"/>
      <c r="I51" s="269"/>
      <c r="J51" s="269"/>
      <c r="K51" s="269"/>
      <c r="L51" s="269"/>
      <c r="M51" s="269"/>
      <c r="N51" s="269"/>
      <c r="O51" s="269"/>
      <c r="P51" s="269"/>
      <c r="Q51" s="269"/>
      <c r="R51" s="269"/>
      <c r="S51" s="269"/>
      <c r="T51" s="269"/>
      <c r="U51" s="269"/>
      <c r="V51" s="269"/>
      <c r="W51" s="269"/>
      <c r="X51" s="269"/>
      <c r="Y51" s="269"/>
      <c r="Z51" s="269"/>
      <c r="AA51" s="269"/>
      <c r="AB51" s="269"/>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1"/>
      <c r="BR51" s="231"/>
      <c r="BS51" s="231"/>
    </row>
    <row r="52" spans="1:71" s="273" customFormat="1" ht="15.75" x14ac:dyDescent="0.25">
      <c r="A52" s="269"/>
      <c r="B52" s="269"/>
      <c r="C52" s="500" t="s">
        <v>94</v>
      </c>
      <c r="D52" s="501" t="s">
        <v>247</v>
      </c>
      <c r="E52" s="269" t="s">
        <v>207</v>
      </c>
      <c r="F52" s="269"/>
      <c r="G52" s="269" t="s">
        <v>252</v>
      </c>
      <c r="H52" s="269"/>
      <c r="I52" s="269"/>
      <c r="J52" s="269"/>
      <c r="K52" s="288"/>
      <c r="L52" s="291"/>
      <c r="M52" s="288"/>
      <c r="N52" s="291"/>
      <c r="O52" s="269"/>
      <c r="P52" s="269"/>
      <c r="Q52" s="269"/>
      <c r="R52" s="269"/>
      <c r="S52" s="269"/>
      <c r="T52" s="269"/>
      <c r="U52" s="269"/>
      <c r="V52" s="269"/>
      <c r="W52" s="269"/>
      <c r="X52" s="269"/>
      <c r="Y52" s="269"/>
      <c r="Z52" s="269"/>
      <c r="AA52" s="269"/>
      <c r="AB52" s="269"/>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row>
    <row r="53" spans="1:71" s="273" customFormat="1" ht="15.75" x14ac:dyDescent="0.25">
      <c r="A53" s="269"/>
      <c r="B53" s="269"/>
      <c r="C53" s="500" t="s">
        <v>59</v>
      </c>
      <c r="D53" s="501" t="s">
        <v>247</v>
      </c>
      <c r="E53" s="269" t="s">
        <v>335</v>
      </c>
      <c r="F53" s="269"/>
      <c r="G53" s="269" t="s">
        <v>252</v>
      </c>
      <c r="H53" s="269"/>
      <c r="I53" s="269"/>
      <c r="J53" s="269"/>
      <c r="K53" s="288"/>
      <c r="L53" s="291"/>
      <c r="M53" s="288"/>
      <c r="N53" s="291"/>
      <c r="O53" s="269"/>
      <c r="P53" s="269"/>
      <c r="Q53" s="269"/>
      <c r="R53" s="269"/>
      <c r="S53" s="269"/>
      <c r="T53" s="269"/>
      <c r="U53" s="269"/>
      <c r="V53" s="269"/>
      <c r="W53" s="269"/>
      <c r="X53" s="269"/>
      <c r="Y53" s="269"/>
      <c r="Z53" s="269"/>
      <c r="AA53" s="269"/>
      <c r="AB53" s="269"/>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1"/>
      <c r="BR53" s="231"/>
      <c r="BS53" s="231"/>
    </row>
    <row r="54" spans="1:71" s="273" customFormat="1" ht="15.75" x14ac:dyDescent="0.25">
      <c r="A54" s="269"/>
      <c r="B54" s="269"/>
      <c r="C54" s="500" t="s">
        <v>449</v>
      </c>
      <c r="D54" s="501" t="s">
        <v>247</v>
      </c>
      <c r="E54" s="269" t="s">
        <v>450</v>
      </c>
      <c r="F54" s="269"/>
      <c r="G54" s="269" t="s">
        <v>252</v>
      </c>
      <c r="H54" s="269"/>
      <c r="I54" s="269"/>
      <c r="J54" s="269"/>
      <c r="K54" s="288"/>
      <c r="L54" s="291"/>
      <c r="M54" s="288"/>
      <c r="N54" s="291"/>
      <c r="O54" s="269"/>
      <c r="P54" s="269"/>
      <c r="Q54" s="269"/>
      <c r="R54" s="269"/>
      <c r="S54" s="269"/>
      <c r="T54" s="269"/>
      <c r="U54" s="269"/>
      <c r="V54" s="269"/>
      <c r="W54" s="269"/>
      <c r="X54" s="269"/>
      <c r="Y54" s="269"/>
      <c r="Z54" s="269"/>
      <c r="AA54" s="269"/>
      <c r="AB54" s="269"/>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1"/>
      <c r="BR54" s="231"/>
      <c r="BS54" s="231"/>
    </row>
    <row r="55" spans="1:71" s="273" customFormat="1" ht="26.25" x14ac:dyDescent="0.25">
      <c r="A55" s="269"/>
      <c r="B55" s="269"/>
      <c r="C55" s="502" t="s">
        <v>457</v>
      </c>
      <c r="D55" s="501" t="s">
        <v>247</v>
      </c>
      <c r="E55" s="269" t="s">
        <v>193</v>
      </c>
      <c r="F55" s="269"/>
      <c r="G55" s="269" t="s">
        <v>252</v>
      </c>
      <c r="H55" s="269"/>
      <c r="I55" s="269"/>
      <c r="J55" s="269"/>
      <c r="K55" s="288"/>
      <c r="L55" s="291"/>
      <c r="M55" s="288"/>
      <c r="N55" s="291"/>
      <c r="O55" s="269"/>
      <c r="P55" s="269"/>
      <c r="Q55" s="269"/>
      <c r="R55" s="269"/>
      <c r="S55" s="269"/>
      <c r="T55" s="269"/>
      <c r="U55" s="269"/>
      <c r="V55" s="269"/>
      <c r="W55" s="269"/>
      <c r="X55" s="269"/>
      <c r="Y55" s="269"/>
      <c r="Z55" s="269"/>
      <c r="AA55" s="269"/>
      <c r="AB55" s="269"/>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1"/>
      <c r="BR55" s="231"/>
      <c r="BS55" s="231"/>
    </row>
    <row r="56" spans="1:71" s="273" customFormat="1" ht="15.75" x14ac:dyDescent="0.25">
      <c r="A56" s="269"/>
      <c r="B56" s="269"/>
      <c r="C56" s="500" t="s">
        <v>60</v>
      </c>
      <c r="D56" s="501" t="s">
        <v>247</v>
      </c>
      <c r="E56" s="269" t="s">
        <v>224</v>
      </c>
      <c r="F56" s="269"/>
      <c r="G56" s="269" t="s">
        <v>252</v>
      </c>
      <c r="H56" s="269"/>
      <c r="I56" s="269"/>
      <c r="J56" s="269"/>
      <c r="K56" s="269"/>
      <c r="L56" s="269"/>
      <c r="M56" s="269"/>
      <c r="N56" s="269"/>
      <c r="O56" s="269"/>
      <c r="P56" s="269"/>
      <c r="Q56" s="269"/>
      <c r="R56" s="269"/>
      <c r="S56" s="269"/>
      <c r="T56" s="269"/>
      <c r="U56" s="269"/>
      <c r="V56" s="269"/>
      <c r="W56" s="269"/>
      <c r="X56" s="269"/>
      <c r="Y56" s="269"/>
      <c r="Z56" s="269"/>
      <c r="AA56" s="269"/>
      <c r="AB56" s="269"/>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row>
    <row r="57" spans="1:71" s="273" customFormat="1" ht="15.75" x14ac:dyDescent="0.25">
      <c r="A57" s="269"/>
      <c r="B57" s="269"/>
      <c r="C57" s="503" t="s">
        <v>456</v>
      </c>
      <c r="D57" s="501" t="s">
        <v>247</v>
      </c>
      <c r="E57" s="498" t="s">
        <v>458</v>
      </c>
      <c r="F57" s="269"/>
      <c r="G57" s="269" t="s">
        <v>252</v>
      </c>
      <c r="H57" s="269"/>
      <c r="I57" s="269"/>
      <c r="J57" s="269"/>
      <c r="K57" s="269"/>
      <c r="L57" s="269"/>
      <c r="M57" s="269"/>
      <c r="N57" s="269"/>
      <c r="O57" s="269"/>
      <c r="P57" s="269"/>
      <c r="Q57" s="269"/>
      <c r="R57" s="269"/>
      <c r="S57" s="269"/>
      <c r="T57" s="269"/>
      <c r="U57" s="269"/>
      <c r="V57" s="269"/>
      <c r="W57" s="269"/>
      <c r="X57" s="269"/>
      <c r="Y57" s="269"/>
      <c r="Z57" s="269"/>
      <c r="AA57" s="269"/>
      <c r="AB57" s="269"/>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1"/>
      <c r="BR57" s="231"/>
      <c r="BS57" s="231"/>
    </row>
    <row r="58" spans="1:71" s="273" customFormat="1" ht="15.75" x14ac:dyDescent="0.25">
      <c r="A58" s="269"/>
      <c r="B58" s="269"/>
      <c r="C58" s="503" t="s">
        <v>61</v>
      </c>
      <c r="D58" s="499" t="s">
        <v>247</v>
      </c>
      <c r="E58" s="269" t="s">
        <v>194</v>
      </c>
      <c r="F58" s="269"/>
      <c r="G58" s="269" t="s">
        <v>252</v>
      </c>
      <c r="H58" s="269"/>
      <c r="I58" s="269"/>
      <c r="J58" s="269"/>
      <c r="K58" s="269"/>
      <c r="L58" s="269"/>
      <c r="M58" s="269"/>
      <c r="N58" s="269"/>
      <c r="O58" s="269"/>
      <c r="P58" s="269"/>
      <c r="Q58" s="269"/>
      <c r="R58" s="269"/>
      <c r="S58" s="269"/>
      <c r="T58" s="269"/>
      <c r="U58" s="269"/>
      <c r="V58" s="269"/>
      <c r="W58" s="269"/>
      <c r="X58" s="269"/>
      <c r="Y58" s="269"/>
      <c r="Z58" s="269"/>
      <c r="AA58" s="269"/>
      <c r="AB58" s="269"/>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1"/>
    </row>
    <row r="59" spans="1:71" s="273" customFormat="1" x14ac:dyDescent="0.25">
      <c r="A59" s="269"/>
      <c r="B59" s="269"/>
      <c r="C59" s="503" t="s">
        <v>62</v>
      </c>
      <c r="D59" s="499" t="s">
        <v>247</v>
      </c>
      <c r="E59" s="269" t="s">
        <v>195</v>
      </c>
      <c r="F59" s="269"/>
      <c r="G59" s="269" t="s">
        <v>252</v>
      </c>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row>
    <row r="60" spans="1:71" s="273" customFormat="1" x14ac:dyDescent="0.25">
      <c r="A60" s="269"/>
      <c r="B60" s="269"/>
      <c r="C60" s="503" t="s">
        <v>63</v>
      </c>
      <c r="D60" s="499" t="s">
        <v>247</v>
      </c>
      <c r="E60" s="269" t="s">
        <v>196</v>
      </c>
      <c r="F60" s="269"/>
      <c r="G60" s="269" t="s">
        <v>252</v>
      </c>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row>
    <row r="61" spans="1:71" s="273" customFormat="1" x14ac:dyDescent="0.25">
      <c r="A61" s="269"/>
      <c r="B61" s="269"/>
      <c r="C61" s="503" t="s">
        <v>324</v>
      </c>
      <c r="D61" s="499" t="s">
        <v>247</v>
      </c>
      <c r="E61" s="269" t="s">
        <v>327</v>
      </c>
      <c r="F61" s="269"/>
      <c r="G61" s="269" t="s">
        <v>252</v>
      </c>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row>
    <row r="62" spans="1:71" s="273" customFormat="1" x14ac:dyDescent="0.25">
      <c r="A62" s="269"/>
      <c r="B62" s="269"/>
      <c r="C62" s="504" t="s">
        <v>64</v>
      </c>
      <c r="D62" s="501" t="s">
        <v>287</v>
      </c>
      <c r="E62" s="269" t="s">
        <v>197</v>
      </c>
      <c r="F62" s="269"/>
      <c r="G62" s="269" t="s">
        <v>206</v>
      </c>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row>
    <row r="63" spans="1:71" s="273" customFormat="1" x14ac:dyDescent="0.25">
      <c r="A63" s="269"/>
      <c r="B63" s="269"/>
      <c r="C63" s="503" t="s">
        <v>375</v>
      </c>
      <c r="D63" s="499" t="s">
        <v>65</v>
      </c>
      <c r="E63" s="269" t="s">
        <v>376</v>
      </c>
      <c r="F63" s="269"/>
      <c r="G63" s="269" t="s">
        <v>205</v>
      </c>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row>
    <row r="64" spans="1:71" s="273" customFormat="1" x14ac:dyDescent="0.25">
      <c r="A64" s="269"/>
      <c r="B64" s="269"/>
      <c r="C64" s="504" t="s">
        <v>66</v>
      </c>
      <c r="D64" s="501" t="s">
        <v>67</v>
      </c>
      <c r="E64" s="269" t="s">
        <v>198</v>
      </c>
      <c r="F64" s="269"/>
      <c r="G64" s="269" t="s">
        <v>67</v>
      </c>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row>
    <row r="65" spans="1:31" s="273" customFormat="1" x14ac:dyDescent="0.25">
      <c r="A65" s="269"/>
      <c r="B65" s="269"/>
      <c r="C65" s="269" t="s">
        <v>379</v>
      </c>
      <c r="D65" s="505"/>
      <c r="E65" s="269" t="s">
        <v>380</v>
      </c>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row>
    <row r="66" spans="1:31" s="273" customFormat="1" x14ac:dyDescent="0.25">
      <c r="A66" s="269"/>
      <c r="B66" s="269"/>
      <c r="C66" s="269" t="s">
        <v>377</v>
      </c>
      <c r="D66" s="269"/>
      <c r="E66" s="269" t="s">
        <v>378</v>
      </c>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row>
    <row r="67" spans="1:31" s="273" customFormat="1" x14ac:dyDescent="0.25">
      <c r="A67" s="269"/>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row>
    <row r="68" spans="1:31" s="273" customFormat="1" x14ac:dyDescent="0.25">
      <c r="A68" s="269"/>
      <c r="B68" s="269"/>
      <c r="C68" s="495" t="s">
        <v>191</v>
      </c>
      <c r="D68" s="495"/>
      <c r="E68" s="269" t="s">
        <v>208</v>
      </c>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row>
    <row r="69" spans="1:31" s="273" customFormat="1" x14ac:dyDescent="0.25">
      <c r="A69" s="269"/>
      <c r="B69" s="269"/>
      <c r="C69" s="496"/>
      <c r="D69" s="496"/>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row>
    <row r="70" spans="1:31" s="273" customFormat="1" x14ac:dyDescent="0.25">
      <c r="A70" s="269"/>
      <c r="B70" s="269"/>
      <c r="C70" s="496"/>
      <c r="D70" s="497" t="s">
        <v>23</v>
      </c>
      <c r="E70" s="269"/>
      <c r="F70" s="269"/>
      <c r="G70" s="269" t="s">
        <v>176</v>
      </c>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row>
    <row r="71" spans="1:31" s="273" customFormat="1" ht="25.5" x14ac:dyDescent="0.25">
      <c r="A71" s="269"/>
      <c r="B71" s="269"/>
      <c r="C71" s="506" t="s">
        <v>68</v>
      </c>
      <c r="D71" s="501" t="s">
        <v>247</v>
      </c>
      <c r="E71" s="269" t="s">
        <v>199</v>
      </c>
      <c r="F71" s="269"/>
      <c r="G71" s="269" t="s">
        <v>252</v>
      </c>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row>
    <row r="72" spans="1:31" s="273" customFormat="1" ht="25.5" x14ac:dyDescent="0.25">
      <c r="A72" s="269"/>
      <c r="B72" s="269"/>
      <c r="C72" s="506" t="s">
        <v>69</v>
      </c>
      <c r="D72" s="501" t="s">
        <v>247</v>
      </c>
      <c r="E72" s="269" t="s">
        <v>200</v>
      </c>
      <c r="F72" s="269"/>
      <c r="G72" s="269" t="s">
        <v>252</v>
      </c>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row>
    <row r="73" spans="1:31" s="273" customFormat="1" ht="25.5" x14ac:dyDescent="0.25">
      <c r="A73" s="269"/>
      <c r="B73" s="269"/>
      <c r="C73" s="506" t="s">
        <v>70</v>
      </c>
      <c r="D73" s="501" t="s">
        <v>67</v>
      </c>
      <c r="E73" s="269" t="s">
        <v>201</v>
      </c>
      <c r="F73" s="269"/>
      <c r="G73" s="269" t="s">
        <v>67</v>
      </c>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row>
    <row r="74" spans="1:31" s="273" customFormat="1" ht="25.5" x14ac:dyDescent="0.25">
      <c r="A74" s="269"/>
      <c r="B74" s="269"/>
      <c r="C74" s="506" t="s">
        <v>71</v>
      </c>
      <c r="D74" s="501" t="s">
        <v>67</v>
      </c>
      <c r="E74" s="269" t="s">
        <v>202</v>
      </c>
      <c r="F74" s="269"/>
      <c r="G74" s="269" t="s">
        <v>67</v>
      </c>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row>
    <row r="75" spans="1:31" s="273" customFormat="1" x14ac:dyDescent="0.25">
      <c r="A75" s="269"/>
      <c r="B75" s="269"/>
      <c r="C75" s="506" t="s">
        <v>433</v>
      </c>
      <c r="D75" s="501"/>
      <c r="E75" s="269" t="s">
        <v>434</v>
      </c>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row>
    <row r="76" spans="1:31" s="273" customFormat="1" ht="38.25" x14ac:dyDescent="0.25">
      <c r="A76" s="269"/>
      <c r="B76" s="269"/>
      <c r="C76" s="506" t="s">
        <v>436</v>
      </c>
      <c r="D76" s="501" t="s">
        <v>437</v>
      </c>
      <c r="E76" s="269" t="s">
        <v>439</v>
      </c>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row>
    <row r="77" spans="1:31" s="273" customFormat="1" ht="38.25" x14ac:dyDescent="0.25">
      <c r="A77" s="269"/>
      <c r="B77" s="269"/>
      <c r="C77" s="506" t="s">
        <v>438</v>
      </c>
      <c r="D77" s="501" t="s">
        <v>441</v>
      </c>
      <c r="E77" s="269" t="s">
        <v>440</v>
      </c>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row>
    <row r="78" spans="1:31" s="273" customFormat="1" ht="25.5" x14ac:dyDescent="0.25">
      <c r="A78" s="269"/>
      <c r="B78" s="269"/>
      <c r="C78" s="506" t="s">
        <v>432</v>
      </c>
      <c r="D78" s="501"/>
      <c r="E78" s="269" t="s">
        <v>435</v>
      </c>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row>
    <row r="79" spans="1:31" s="273" customFormat="1" x14ac:dyDescent="0.25">
      <c r="A79" s="269"/>
      <c r="B79" s="269"/>
      <c r="C79" s="506" t="s">
        <v>72</v>
      </c>
      <c r="D79" s="501" t="s">
        <v>247</v>
      </c>
      <c r="E79" s="269" t="s">
        <v>211</v>
      </c>
      <c r="F79" s="269"/>
      <c r="G79" s="269" t="s">
        <v>252</v>
      </c>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row>
    <row r="80" spans="1:31" s="273" customFormat="1" ht="25.5" x14ac:dyDescent="0.25">
      <c r="A80" s="269"/>
      <c r="B80" s="269"/>
      <c r="C80" s="506" t="s">
        <v>95</v>
      </c>
      <c r="D80" s="501" t="s">
        <v>67</v>
      </c>
      <c r="E80" s="269" t="s">
        <v>203</v>
      </c>
      <c r="F80" s="269"/>
      <c r="G80" s="269" t="s">
        <v>67</v>
      </c>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row>
    <row r="81" spans="1:31" s="273" customFormat="1" x14ac:dyDescent="0.25">
      <c r="A81" s="269"/>
      <c r="B81" s="269"/>
      <c r="C81" s="506" t="s">
        <v>73</v>
      </c>
      <c r="D81" s="501" t="s">
        <v>67</v>
      </c>
      <c r="E81" s="269" t="s">
        <v>204</v>
      </c>
      <c r="F81" s="269"/>
      <c r="G81" s="269" t="s">
        <v>67</v>
      </c>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row>
    <row r="82" spans="1:31" s="273" customFormat="1" x14ac:dyDescent="0.25">
      <c r="A82" s="269"/>
      <c r="B82" s="269"/>
      <c r="C82" s="506"/>
      <c r="D82" s="506"/>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row>
    <row r="83" spans="1:31" s="273" customFormat="1" x14ac:dyDescent="0.25">
      <c r="A83" s="269"/>
      <c r="B83" s="269"/>
      <c r="C83" s="269" t="s">
        <v>379</v>
      </c>
      <c r="D83" s="269"/>
      <c r="E83" s="269" t="s">
        <v>380</v>
      </c>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row>
    <row r="84" spans="1:31" s="273" customFormat="1" x14ac:dyDescent="0.25">
      <c r="A84" s="269"/>
      <c r="B84" s="269"/>
      <c r="C84" s="507"/>
      <c r="D84" s="507"/>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row>
    <row r="85" spans="1:31" s="273" customFormat="1" x14ac:dyDescent="0.25">
      <c r="A85" s="269"/>
      <c r="B85" s="269"/>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row>
    <row r="86" spans="1:31" s="273" customFormat="1" x14ac:dyDescent="0.25">
      <c r="A86" s="269"/>
      <c r="B86" s="269"/>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row>
    <row r="87" spans="1:31" s="273" customFormat="1" x14ac:dyDescent="0.25">
      <c r="A87" s="269"/>
      <c r="B87" s="269"/>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row>
    <row r="88" spans="1:31" s="273" customFormat="1" x14ac:dyDescent="0.25">
      <c r="A88" s="269"/>
      <c r="B88" s="269"/>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row>
    <row r="89" spans="1:31" s="273" customFormat="1" x14ac:dyDescent="0.25">
      <c r="A89" s="269"/>
      <c r="B89" s="269"/>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row>
    <row r="90" spans="1:31" s="273" customFormat="1" x14ac:dyDescent="0.25">
      <c r="A90" s="269"/>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row>
    <row r="91" spans="1:31" s="273" customFormat="1" x14ac:dyDescent="0.25">
      <c r="A91" s="269"/>
      <c r="B91" s="269"/>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row>
    <row r="92" spans="1:31" s="273" customFormat="1" x14ac:dyDescent="0.25">
      <c r="A92" s="269"/>
      <c r="B92" s="269"/>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row>
    <row r="93" spans="1:31" s="273" customFormat="1" x14ac:dyDescent="0.25">
      <c r="A93" s="269"/>
      <c r="B93" s="269"/>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row>
    <row r="94" spans="1:31" s="273" customFormat="1" x14ac:dyDescent="0.25">
      <c r="A94" s="269"/>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row>
    <row r="95" spans="1:31" s="273" customFormat="1" x14ac:dyDescent="0.25">
      <c r="A95" s="269"/>
      <c r="B95" s="269"/>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row>
    <row r="96" spans="1:31" s="273" customFormat="1" x14ac:dyDescent="0.25">
      <c r="A96" s="269"/>
      <c r="B96" s="269"/>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row>
    <row r="97" spans="1:31" s="273" customFormat="1" x14ac:dyDescent="0.25">
      <c r="A97" s="269"/>
      <c r="B97" s="269"/>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row>
    <row r="98" spans="1:31" s="273" customFormat="1" x14ac:dyDescent="0.25">
      <c r="A98" s="269"/>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row>
    <row r="99" spans="1:31" s="273" customFormat="1" x14ac:dyDescent="0.25">
      <c r="A99" s="269"/>
      <c r="B99" s="269"/>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row>
    <row r="100" spans="1:31" s="273" customFormat="1" x14ac:dyDescent="0.25">
      <c r="A100" s="269"/>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row>
    <row r="101" spans="1:31" s="273" customFormat="1" x14ac:dyDescent="0.25">
      <c r="A101" s="269"/>
      <c r="B101" s="269"/>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row>
    <row r="102" spans="1:31" s="273" customFormat="1" x14ac:dyDescent="0.25">
      <c r="A102" s="269"/>
      <c r="B102" s="269"/>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row>
    <row r="103" spans="1:31" s="273" customFormat="1" x14ac:dyDescent="0.25">
      <c r="A103" s="269"/>
      <c r="B103" s="269"/>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row>
    <row r="104" spans="1:31" s="273" customFormat="1" x14ac:dyDescent="0.25">
      <c r="A104" s="269"/>
      <c r="B104" s="269"/>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row>
    <row r="105" spans="1:31" s="273" customFormat="1" x14ac:dyDescent="0.25">
      <c r="A105" s="269"/>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row>
    <row r="106" spans="1:31" s="273" customFormat="1" x14ac:dyDescent="0.2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row>
    <row r="107" spans="1:31" s="273" customFormat="1" x14ac:dyDescent="0.25">
      <c r="A107" s="269"/>
      <c r="B107" s="269"/>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row>
    <row r="108" spans="1:31" s="273" customFormat="1" x14ac:dyDescent="0.25">
      <c r="A108" s="269"/>
      <c r="B108" s="269"/>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row>
    <row r="109" spans="1:31" s="273" customFormat="1" x14ac:dyDescent="0.25">
      <c r="A109" s="269"/>
      <c r="B109" s="269"/>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row>
    <row r="110" spans="1:31" s="273" customFormat="1" x14ac:dyDescent="0.25">
      <c r="A110" s="269"/>
      <c r="B110" s="269"/>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row>
    <row r="111" spans="1:31" s="273" customFormat="1" x14ac:dyDescent="0.25">
      <c r="A111" s="269"/>
      <c r="B111" s="269"/>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row>
    <row r="112" spans="1:31" s="273" customFormat="1" x14ac:dyDescent="0.25">
      <c r="A112" s="269"/>
      <c r="B112" s="269"/>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row>
    <row r="113" spans="1:31" s="235" customFormat="1" x14ac:dyDescent="0.25">
      <c r="A113" s="233"/>
      <c r="B113" s="233"/>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33"/>
      <c r="AA113" s="233"/>
      <c r="AB113" s="233"/>
      <c r="AC113" s="233"/>
      <c r="AD113" s="233"/>
      <c r="AE113" s="233"/>
    </row>
    <row r="114" spans="1:31" s="235" customFormat="1" x14ac:dyDescent="0.25">
      <c r="A114" s="233"/>
      <c r="B114" s="233"/>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33"/>
      <c r="AA114" s="233"/>
      <c r="AB114" s="233"/>
      <c r="AC114" s="233"/>
      <c r="AD114" s="233"/>
      <c r="AE114" s="233"/>
    </row>
    <row r="115" spans="1:31" s="235" customFormat="1" x14ac:dyDescent="0.25">
      <c r="A115" s="233"/>
      <c r="B115" s="233"/>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33"/>
      <c r="AA115" s="233"/>
      <c r="AB115" s="233"/>
      <c r="AC115" s="233"/>
      <c r="AD115" s="233"/>
      <c r="AE115" s="233"/>
    </row>
    <row r="116" spans="1:31" s="235" customFormat="1" x14ac:dyDescent="0.25">
      <c r="A116" s="233"/>
      <c r="B116" s="233"/>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33"/>
      <c r="AA116" s="233"/>
      <c r="AB116" s="233"/>
      <c r="AC116" s="233"/>
      <c r="AD116" s="233"/>
      <c r="AE116" s="233"/>
    </row>
    <row r="117" spans="1:31" s="235" customFormat="1" x14ac:dyDescent="0.25">
      <c r="A117" s="233"/>
      <c r="B117" s="233"/>
      <c r="C117" s="269"/>
      <c r="D117" s="269"/>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33"/>
      <c r="AA117" s="233"/>
      <c r="AB117" s="233"/>
      <c r="AC117" s="233"/>
      <c r="AD117" s="233"/>
      <c r="AE117" s="233"/>
    </row>
    <row r="118" spans="1:31" s="235" customFormat="1" x14ac:dyDescent="0.25">
      <c r="A118" s="233"/>
      <c r="B118" s="233"/>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33"/>
      <c r="AA118" s="233"/>
      <c r="AB118" s="233"/>
      <c r="AC118" s="233"/>
      <c r="AD118" s="233"/>
      <c r="AE118" s="233"/>
    </row>
    <row r="119" spans="1:31" s="235" customFormat="1" x14ac:dyDescent="0.25">
      <c r="A119" s="233"/>
      <c r="B119" s="233"/>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33"/>
      <c r="AA119" s="233"/>
      <c r="AB119" s="233"/>
      <c r="AC119" s="233"/>
      <c r="AD119" s="233"/>
      <c r="AE119" s="233"/>
    </row>
    <row r="120" spans="1:31" s="235" customFormat="1" x14ac:dyDescent="0.25">
      <c r="A120" s="233"/>
      <c r="B120" s="233"/>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33"/>
      <c r="AA120" s="233"/>
      <c r="AB120" s="233"/>
      <c r="AC120" s="233"/>
      <c r="AD120" s="233"/>
      <c r="AE120" s="233"/>
    </row>
    <row r="121" spans="1:31" s="235" customFormat="1" x14ac:dyDescent="0.25">
      <c r="A121" s="233"/>
      <c r="B121" s="233"/>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33"/>
      <c r="AA121" s="233"/>
      <c r="AB121" s="233"/>
      <c r="AC121" s="233"/>
      <c r="AD121" s="233"/>
      <c r="AE121" s="233"/>
    </row>
    <row r="122" spans="1:31" s="235" customFormat="1" x14ac:dyDescent="0.25">
      <c r="A122" s="233"/>
      <c r="B122" s="233"/>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33"/>
      <c r="AA122" s="233"/>
      <c r="AB122" s="233"/>
      <c r="AC122" s="233"/>
      <c r="AD122" s="233"/>
      <c r="AE122" s="233"/>
    </row>
    <row r="123" spans="1:31" s="235" customFormat="1" x14ac:dyDescent="0.25">
      <c r="A123" s="233"/>
      <c r="B123" s="233"/>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33"/>
      <c r="AA123" s="233"/>
      <c r="AB123" s="233"/>
      <c r="AC123" s="233"/>
      <c r="AD123" s="233"/>
      <c r="AE123" s="233"/>
    </row>
    <row r="124" spans="1:31" s="235" customFormat="1" x14ac:dyDescent="0.25">
      <c r="A124" s="233"/>
      <c r="B124" s="233"/>
      <c r="C124" s="269"/>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33"/>
      <c r="AA124" s="233"/>
      <c r="AB124" s="233"/>
      <c r="AC124" s="233"/>
      <c r="AD124" s="233"/>
      <c r="AE124" s="233"/>
    </row>
    <row r="125" spans="1:31" s="235" customFormat="1" x14ac:dyDescent="0.25">
      <c r="A125" s="233"/>
      <c r="B125" s="233"/>
      <c r="C125" s="269"/>
      <c r="D125" s="269"/>
      <c r="E125" s="269"/>
      <c r="F125" s="269"/>
      <c r="G125" s="269"/>
      <c r="H125" s="269"/>
      <c r="I125" s="269"/>
      <c r="J125" s="269"/>
      <c r="K125" s="269"/>
      <c r="L125" s="269"/>
      <c r="M125" s="269"/>
      <c r="N125" s="269"/>
      <c r="O125" s="269"/>
      <c r="P125" s="269"/>
      <c r="Q125" s="269"/>
      <c r="R125" s="269"/>
      <c r="S125" s="269"/>
      <c r="T125" s="269"/>
      <c r="U125" s="269"/>
      <c r="V125" s="269"/>
      <c r="W125" s="269"/>
      <c r="X125" s="269"/>
      <c r="Y125" s="269"/>
      <c r="Z125" s="233"/>
      <c r="AA125" s="233"/>
      <c r="AB125" s="233"/>
      <c r="AC125" s="233"/>
      <c r="AD125" s="233"/>
      <c r="AE125" s="233"/>
    </row>
    <row r="126" spans="1:31" s="235" customFormat="1" x14ac:dyDescent="0.25">
      <c r="A126" s="233"/>
      <c r="B126" s="233"/>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33"/>
      <c r="AA126" s="233"/>
      <c r="AB126" s="233"/>
      <c r="AC126" s="233"/>
      <c r="AD126" s="233"/>
      <c r="AE126" s="233"/>
    </row>
    <row r="127" spans="1:31" s="235" customFormat="1" x14ac:dyDescent="0.25">
      <c r="A127" s="233"/>
      <c r="B127" s="233"/>
      <c r="C127" s="269"/>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269"/>
      <c r="Z127" s="233"/>
      <c r="AA127" s="233"/>
      <c r="AB127" s="233"/>
      <c r="AC127" s="233"/>
      <c r="AD127" s="233"/>
      <c r="AE127" s="233"/>
    </row>
    <row r="128" spans="1:31" s="235" customFormat="1" x14ac:dyDescent="0.25">
      <c r="A128" s="233"/>
      <c r="B128" s="233"/>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33"/>
      <c r="AA128" s="233"/>
      <c r="AB128" s="233"/>
      <c r="AC128" s="233"/>
      <c r="AD128" s="233"/>
      <c r="AE128" s="233"/>
    </row>
    <row r="129" spans="1:31" s="235" customFormat="1" x14ac:dyDescent="0.25">
      <c r="A129" s="233"/>
      <c r="B129" s="233"/>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33"/>
      <c r="AA129" s="233"/>
      <c r="AB129" s="233"/>
      <c r="AC129" s="233"/>
      <c r="AD129" s="233"/>
      <c r="AE129" s="233"/>
    </row>
    <row r="130" spans="1:31" s="235" customFormat="1" x14ac:dyDescent="0.25">
      <c r="A130" s="233"/>
      <c r="B130" s="233"/>
      <c r="C130" s="269"/>
      <c r="D130" s="269"/>
      <c r="E130" s="269"/>
      <c r="F130" s="269"/>
      <c r="G130" s="269"/>
      <c r="H130" s="269"/>
      <c r="I130" s="269"/>
      <c r="J130" s="269"/>
      <c r="K130" s="269"/>
      <c r="L130" s="269"/>
      <c r="M130" s="269"/>
      <c r="N130" s="269"/>
      <c r="O130" s="269"/>
      <c r="P130" s="269"/>
      <c r="Q130" s="269"/>
      <c r="R130" s="269"/>
      <c r="S130" s="269"/>
      <c r="T130" s="269"/>
      <c r="U130" s="269"/>
      <c r="V130" s="269"/>
      <c r="W130" s="269"/>
      <c r="X130" s="269"/>
      <c r="Y130" s="269"/>
      <c r="Z130" s="233"/>
      <c r="AA130" s="233"/>
      <c r="AB130" s="233"/>
      <c r="AC130" s="233"/>
      <c r="AD130" s="233"/>
      <c r="AE130" s="233"/>
    </row>
    <row r="131" spans="1:31" s="235" customFormat="1" x14ac:dyDescent="0.25">
      <c r="A131" s="233"/>
      <c r="B131" s="233"/>
      <c r="C131" s="269"/>
      <c r="D131" s="269"/>
      <c r="E131" s="269"/>
      <c r="F131" s="269"/>
      <c r="G131" s="269"/>
      <c r="H131" s="269"/>
      <c r="I131" s="269"/>
      <c r="J131" s="269"/>
      <c r="K131" s="269"/>
      <c r="L131" s="269"/>
      <c r="M131" s="269"/>
      <c r="N131" s="269"/>
      <c r="O131" s="269"/>
      <c r="P131" s="269"/>
      <c r="Q131" s="269"/>
      <c r="R131" s="269"/>
      <c r="S131" s="269"/>
      <c r="T131" s="269"/>
      <c r="U131" s="269"/>
      <c r="V131" s="269"/>
      <c r="W131" s="269"/>
      <c r="X131" s="269"/>
      <c r="Y131" s="269"/>
      <c r="Z131" s="233"/>
      <c r="AA131" s="233"/>
      <c r="AB131" s="233"/>
      <c r="AC131" s="233"/>
      <c r="AD131" s="233"/>
      <c r="AE131" s="233"/>
    </row>
    <row r="132" spans="1:31" s="235" customFormat="1" x14ac:dyDescent="0.25">
      <c r="A132" s="233"/>
      <c r="B132" s="233"/>
      <c r="C132" s="269"/>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33"/>
      <c r="AA132" s="233"/>
      <c r="AB132" s="233"/>
      <c r="AC132" s="233"/>
      <c r="AD132" s="233"/>
      <c r="AE132" s="233"/>
    </row>
    <row r="133" spans="1:31" s="235" customFormat="1" x14ac:dyDescent="0.25">
      <c r="A133" s="233"/>
      <c r="B133" s="233"/>
      <c r="C133" s="269"/>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33"/>
      <c r="AA133" s="233"/>
      <c r="AB133" s="233"/>
      <c r="AC133" s="233"/>
      <c r="AD133" s="233"/>
      <c r="AE133" s="233"/>
    </row>
    <row r="134" spans="1:31" s="235" customFormat="1" x14ac:dyDescent="0.25">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row>
    <row r="135" spans="1:31" s="235" customFormat="1" x14ac:dyDescent="0.25">
      <c r="A135" s="233"/>
      <c r="B135" s="233"/>
      <c r="C135" s="233"/>
      <c r="D135" s="233"/>
      <c r="E135" s="233"/>
      <c r="F135" s="233"/>
      <c r="G135" s="233"/>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33"/>
      <c r="AD135" s="233"/>
      <c r="AE135" s="233"/>
    </row>
    <row r="136" spans="1:31" s="235" customFormat="1" x14ac:dyDescent="0.25">
      <c r="A136" s="233"/>
      <c r="B136" s="233"/>
      <c r="C136" s="233"/>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3"/>
      <c r="AD136" s="233"/>
      <c r="AE136" s="233"/>
    </row>
    <row r="137" spans="1:31" s="235" customFormat="1" x14ac:dyDescent="0.25">
      <c r="A137" s="233"/>
      <c r="B137" s="233"/>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E137" s="233"/>
    </row>
    <row r="138" spans="1:31" s="235" customFormat="1" x14ac:dyDescent="0.25">
      <c r="A138" s="233"/>
      <c r="B138" s="233"/>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row>
    <row r="139" spans="1:31" s="235" customFormat="1" x14ac:dyDescent="0.25">
      <c r="A139" s="233"/>
      <c r="B139" s="233"/>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3"/>
      <c r="AD139" s="233"/>
      <c r="AE139" s="233"/>
    </row>
    <row r="140" spans="1:31" s="235" customFormat="1" x14ac:dyDescent="0.25">
      <c r="A140" s="233"/>
      <c r="B140" s="233"/>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row>
    <row r="141" spans="1:31" s="235" customFormat="1" x14ac:dyDescent="0.25">
      <c r="A141" s="233"/>
      <c r="B141" s="233"/>
      <c r="C141" s="233"/>
      <c r="D141" s="233"/>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row>
    <row r="142" spans="1:31" s="235" customFormat="1" x14ac:dyDescent="0.25">
      <c r="A142" s="233"/>
      <c r="B142" s="233"/>
      <c r="C142" s="233"/>
      <c r="D142" s="233"/>
      <c r="E142" s="233"/>
      <c r="F142" s="233"/>
      <c r="G142" s="233"/>
      <c r="H142" s="233"/>
      <c r="I142" s="233"/>
      <c r="J142" s="233"/>
      <c r="K142" s="233"/>
      <c r="L142" s="233"/>
      <c r="M142" s="233"/>
      <c r="N142" s="233"/>
      <c r="O142" s="233"/>
      <c r="P142" s="233"/>
      <c r="Q142" s="233"/>
      <c r="R142" s="233"/>
      <c r="S142" s="233"/>
      <c r="T142" s="233"/>
      <c r="U142" s="233"/>
      <c r="V142" s="233"/>
      <c r="W142" s="233"/>
      <c r="X142" s="233"/>
      <c r="Y142" s="233"/>
      <c r="Z142" s="233"/>
      <c r="AA142" s="233"/>
      <c r="AB142" s="233"/>
      <c r="AC142" s="233"/>
      <c r="AD142" s="233"/>
      <c r="AE142" s="233"/>
    </row>
    <row r="143" spans="1:31" s="235" customFormat="1" x14ac:dyDescent="0.25">
      <c r="A143" s="233"/>
      <c r="B143" s="233"/>
      <c r="C143" s="233"/>
      <c r="D143" s="233"/>
      <c r="E143" s="233"/>
      <c r="F143" s="233"/>
      <c r="G143" s="233"/>
      <c r="H143" s="233"/>
      <c r="I143" s="233"/>
      <c r="J143" s="233"/>
      <c r="K143" s="233"/>
      <c r="L143" s="233"/>
      <c r="M143" s="233"/>
      <c r="N143" s="233"/>
      <c r="O143" s="233"/>
      <c r="P143" s="233"/>
      <c r="Q143" s="233"/>
      <c r="R143" s="233"/>
      <c r="S143" s="233"/>
      <c r="T143" s="233"/>
      <c r="U143" s="233"/>
      <c r="V143" s="233"/>
      <c r="W143" s="233"/>
      <c r="X143" s="233"/>
      <c r="Y143" s="233"/>
      <c r="Z143" s="233"/>
      <c r="AA143" s="233"/>
      <c r="AB143" s="233"/>
      <c r="AC143" s="233"/>
      <c r="AD143" s="233"/>
      <c r="AE143" s="233"/>
    </row>
    <row r="144" spans="1:31" s="235" customFormat="1" x14ac:dyDescent="0.25">
      <c r="A144" s="233"/>
      <c r="B144" s="233"/>
      <c r="C144" s="233"/>
      <c r="D144" s="233"/>
      <c r="E144" s="233"/>
      <c r="F144" s="233"/>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row>
    <row r="145" spans="1:31" s="235" customFormat="1" x14ac:dyDescent="0.25">
      <c r="A145" s="233"/>
      <c r="B145" s="233"/>
      <c r="C145" s="233"/>
      <c r="D145" s="233"/>
      <c r="E145" s="233"/>
      <c r="F145" s="233"/>
      <c r="G145" s="233"/>
      <c r="H145" s="233"/>
      <c r="I145" s="233"/>
      <c r="J145" s="233"/>
      <c r="K145" s="233"/>
      <c r="L145" s="233"/>
      <c r="M145" s="233"/>
      <c r="N145" s="233"/>
      <c r="O145" s="233"/>
      <c r="P145" s="233"/>
      <c r="Q145" s="233"/>
      <c r="R145" s="233"/>
      <c r="S145" s="233"/>
      <c r="T145" s="233"/>
      <c r="U145" s="233"/>
      <c r="V145" s="233"/>
      <c r="W145" s="233"/>
      <c r="X145" s="233"/>
      <c r="Y145" s="233"/>
      <c r="Z145" s="233"/>
      <c r="AA145" s="233"/>
      <c r="AB145" s="233"/>
      <c r="AC145" s="233"/>
      <c r="AD145" s="233"/>
      <c r="AE145" s="233"/>
    </row>
    <row r="146" spans="1:31" s="235" customFormat="1" x14ac:dyDescent="0.25">
      <c r="A146" s="233"/>
      <c r="B146" s="233"/>
      <c r="C146" s="233"/>
      <c r="D146" s="233"/>
      <c r="E146" s="233"/>
      <c r="F146" s="233"/>
      <c r="G146" s="233"/>
      <c r="H146" s="233"/>
      <c r="I146" s="233"/>
      <c r="J146" s="233"/>
      <c r="K146" s="233"/>
      <c r="L146" s="233"/>
      <c r="M146" s="233"/>
      <c r="N146" s="233"/>
      <c r="O146" s="233"/>
      <c r="P146" s="233"/>
      <c r="Q146" s="233"/>
      <c r="R146" s="233"/>
      <c r="S146" s="233"/>
      <c r="T146" s="233"/>
      <c r="U146" s="233"/>
      <c r="V146" s="233"/>
      <c r="W146" s="233"/>
      <c r="X146" s="233"/>
      <c r="Y146" s="233"/>
      <c r="Z146" s="233"/>
      <c r="AA146" s="233"/>
      <c r="AB146" s="233"/>
      <c r="AC146" s="233"/>
      <c r="AD146" s="233"/>
      <c r="AE146" s="233"/>
    </row>
    <row r="147" spans="1:31" s="235" customFormat="1" x14ac:dyDescent="0.25">
      <c r="A147" s="233"/>
      <c r="B147" s="233"/>
      <c r="C147" s="233"/>
      <c r="D147" s="233"/>
      <c r="E147" s="233"/>
      <c r="F147" s="233"/>
      <c r="G147" s="233"/>
      <c r="H147" s="233"/>
      <c r="I147" s="233"/>
      <c r="J147" s="233"/>
      <c r="K147" s="233"/>
      <c r="L147" s="233"/>
      <c r="M147" s="233"/>
      <c r="N147" s="233"/>
      <c r="O147" s="233"/>
      <c r="P147" s="233"/>
      <c r="Q147" s="233"/>
      <c r="R147" s="233"/>
      <c r="S147" s="233"/>
      <c r="T147" s="233"/>
      <c r="U147" s="233"/>
      <c r="V147" s="233"/>
      <c r="W147" s="233"/>
      <c r="X147" s="233"/>
      <c r="Y147" s="233"/>
      <c r="Z147" s="233"/>
      <c r="AA147" s="233"/>
      <c r="AB147" s="233"/>
      <c r="AC147" s="233"/>
      <c r="AD147" s="233"/>
      <c r="AE147" s="233"/>
    </row>
    <row r="148" spans="1:31" s="286" customFormat="1" x14ac:dyDescent="0.25">
      <c r="A148" s="285"/>
      <c r="B148" s="285"/>
      <c r="C148" s="285"/>
      <c r="D148" s="285"/>
      <c r="E148" s="285"/>
      <c r="F148" s="285"/>
      <c r="G148" s="285"/>
      <c r="H148" s="285"/>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row>
    <row r="149" spans="1:31" s="286" customFormat="1" x14ac:dyDescent="0.25">
      <c r="A149" s="285"/>
      <c r="B149" s="285"/>
      <c r="C149" s="285"/>
      <c r="D149" s="285"/>
      <c r="E149" s="285"/>
      <c r="F149" s="285"/>
      <c r="G149" s="285"/>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row>
    <row r="150" spans="1:31" x14ac:dyDescent="0.25">
      <c r="C150" s="269"/>
      <c r="D150" s="269"/>
      <c r="E150" s="269"/>
      <c r="F150" s="269"/>
    </row>
    <row r="151" spans="1:31" x14ac:dyDescent="0.25">
      <c r="C151" s="269"/>
      <c r="D151" s="269"/>
      <c r="E151" s="269"/>
      <c r="F151" s="269"/>
    </row>
    <row r="152" spans="1:31" x14ac:dyDescent="0.25">
      <c r="C152" s="269"/>
      <c r="D152" s="269"/>
      <c r="E152" s="269"/>
      <c r="F152" s="269"/>
    </row>
    <row r="153" spans="1:31" x14ac:dyDescent="0.25">
      <c r="C153" s="269"/>
      <c r="D153" s="269"/>
      <c r="E153" s="269"/>
      <c r="F153" s="269"/>
    </row>
    <row r="154" spans="1:31" x14ac:dyDescent="0.25">
      <c r="C154" s="269"/>
      <c r="D154" s="269"/>
      <c r="E154" s="269"/>
      <c r="F154" s="269"/>
    </row>
    <row r="155" spans="1:31" x14ac:dyDescent="0.25">
      <c r="C155" s="269"/>
      <c r="D155" s="269"/>
      <c r="E155" s="269"/>
      <c r="F155" s="269"/>
    </row>
    <row r="156" spans="1:31" x14ac:dyDescent="0.25">
      <c r="C156" s="269"/>
      <c r="D156" s="269"/>
      <c r="E156" s="269"/>
      <c r="F156" s="269"/>
    </row>
    <row r="157" spans="1:31" x14ac:dyDescent="0.25">
      <c r="C157" s="269"/>
      <c r="D157" s="269"/>
      <c r="E157" s="269"/>
      <c r="F157" s="269"/>
    </row>
    <row r="158" spans="1:31" x14ac:dyDescent="0.25">
      <c r="C158" s="269"/>
      <c r="D158" s="269"/>
      <c r="E158" s="269"/>
      <c r="F158" s="269"/>
    </row>
    <row r="159" spans="1:31" x14ac:dyDescent="0.25">
      <c r="C159" s="269"/>
      <c r="D159" s="269"/>
      <c r="E159" s="269"/>
      <c r="F159" s="269"/>
    </row>
    <row r="160" spans="1:31" x14ac:dyDescent="0.25">
      <c r="C160" s="269"/>
      <c r="D160" s="269"/>
      <c r="E160" s="269"/>
      <c r="F160" s="269"/>
    </row>
    <row r="161" spans="3:6" x14ac:dyDescent="0.25">
      <c r="C161" s="269"/>
      <c r="D161" s="269"/>
      <c r="E161" s="269"/>
      <c r="F161" s="269"/>
    </row>
  </sheetData>
  <mergeCells count="9">
    <mergeCell ref="C6:S7"/>
    <mergeCell ref="D3:E3"/>
    <mergeCell ref="E9:I9"/>
    <mergeCell ref="E30:I30"/>
    <mergeCell ref="G5:P5"/>
    <mergeCell ref="K30:O30"/>
    <mergeCell ref="K9:O9"/>
    <mergeCell ref="Q9:U9"/>
    <mergeCell ref="Q30:U30"/>
  </mergeCells>
  <hyperlinks>
    <hyperlink ref="D3" location="Contents!A1" display="Contents!A1"/>
    <hyperlink ref="U4" location="'LT investment program'!A1" display="'LT investment program'!A1"/>
  </hyperlinks>
  <pageMargins left="0.19685039370078741" right="0.19685039370078741" top="0.74803149606299213" bottom="0.74803149606299213" header="0.31496062992125984" footer="0.31496062992125984"/>
  <pageSetup paperSize="9"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6"/>
  <sheetViews>
    <sheetView view="pageBreakPreview" zoomScaleNormal="85" zoomScaleSheetLayoutView="100" zoomScalePageLayoutView="55" workbookViewId="0">
      <selection sqref="A1:S1"/>
    </sheetView>
  </sheetViews>
  <sheetFormatPr defaultColWidth="9.140625" defaultRowHeight="12.75" x14ac:dyDescent="0.2"/>
  <cols>
    <col min="1" max="1" width="4" style="2" customWidth="1"/>
    <col min="2" max="18" width="9.140625" style="2"/>
    <col min="19" max="19" width="2.42578125" style="2" customWidth="1"/>
    <col min="20" max="16384" width="9.140625" style="2"/>
  </cols>
  <sheetData>
    <row r="1" spans="1:38" ht="50.25" customHeight="1" x14ac:dyDescent="0.2">
      <c r="A1" s="470"/>
      <c r="B1" s="470"/>
      <c r="C1" s="470"/>
      <c r="D1" s="470"/>
      <c r="E1" s="470"/>
      <c r="F1" s="470"/>
      <c r="G1" s="470"/>
      <c r="H1" s="470"/>
      <c r="I1" s="470"/>
      <c r="J1" s="470"/>
      <c r="K1" s="470"/>
      <c r="L1" s="470"/>
      <c r="M1" s="470"/>
      <c r="N1" s="470"/>
      <c r="O1" s="470"/>
      <c r="P1" s="470"/>
      <c r="Q1" s="470"/>
      <c r="R1" s="470"/>
      <c r="S1" s="470"/>
    </row>
    <row r="2" spans="1:38" ht="14.25" customHeight="1" x14ac:dyDescent="0.2">
      <c r="A2" s="281"/>
      <c r="B2" s="473" t="str">
        <f>IF(Contents!$B$8="English","Contents","Содержание")</f>
        <v>Содержание</v>
      </c>
      <c r="C2" s="473"/>
      <c r="F2" s="281"/>
      <c r="G2" s="281"/>
      <c r="H2" s="281"/>
      <c r="I2" s="281"/>
      <c r="J2" s="281"/>
      <c r="K2" s="281"/>
      <c r="L2" s="281"/>
      <c r="M2" s="281"/>
      <c r="N2" s="281"/>
      <c r="O2" s="281"/>
      <c r="P2" s="281"/>
      <c r="Q2" s="472" t="str">
        <f>IF(Contents!$B$8="English","Next","Вперед")</f>
        <v>Вперед</v>
      </c>
      <c r="R2" s="472"/>
      <c r="S2" s="281"/>
    </row>
    <row r="3" spans="1:38" ht="14.25" customHeight="1" x14ac:dyDescent="0.2">
      <c r="A3" s="378"/>
      <c r="B3" s="381"/>
      <c r="C3" s="381"/>
      <c r="D3" s="378"/>
      <c r="E3" s="378"/>
      <c r="F3" s="378"/>
      <c r="G3" s="378"/>
      <c r="H3" s="378"/>
      <c r="I3" s="378"/>
      <c r="J3" s="378"/>
      <c r="K3" s="378"/>
      <c r="L3" s="378"/>
      <c r="M3" s="378"/>
      <c r="N3" s="378"/>
      <c r="O3" s="378"/>
      <c r="P3" s="378"/>
      <c r="Q3" s="472" t="str">
        <f>IF(Contents!$B$8="English","Back","Назад")</f>
        <v>Назад</v>
      </c>
      <c r="R3" s="472"/>
      <c r="S3" s="378"/>
    </row>
    <row r="4" spans="1:38" ht="30" customHeight="1" x14ac:dyDescent="0.2">
      <c r="B4" s="62"/>
      <c r="C4" s="471" t="str">
        <f>IF(Contents!$B$8="English","Disclaimer","Заявление об ограничении ответственности")</f>
        <v>Заявление об ограничении ответственности</v>
      </c>
      <c r="D4" s="471"/>
      <c r="E4" s="471"/>
      <c r="F4" s="471"/>
      <c r="G4" s="471"/>
      <c r="H4" s="471"/>
      <c r="I4" s="471"/>
      <c r="J4" s="471"/>
      <c r="K4" s="471"/>
      <c r="L4" s="471"/>
      <c r="M4" s="471"/>
      <c r="N4" s="471"/>
      <c r="O4" s="471"/>
      <c r="P4" s="471"/>
      <c r="Q4" s="471"/>
      <c r="R4" s="471"/>
      <c r="S4" s="471"/>
    </row>
    <row r="5" spans="1:38" ht="12.75" customHeight="1" x14ac:dyDescent="0.2">
      <c r="B5" s="469" t="str">
        <f>IF(Contents!B8="English",A34,B34)</f>
        <v xml:space="preserve">          Сведения, содержащиеся в данном документе, подготовлены Публичным акционерным обществом  «Россети Ленэнерго» (здесь и далее - Общество или ПАО «Россети Ленэнерго»). Мнения, представленные в данном документе, основываются на общей информации, собранной в момент его написания, и могут быть изменены без уведомления. Информация была получена из источников, которые ПАО «Россети Ленэнерго» считает надежными, но точность или полнота информации ПАО  «Россети Ленэнерго» не гарантируется. Данные материалы предоставляются Обществом любому лицу, читающему настоящий документ (здесь и далее - Получатель), исключительно в информационных целях. Получая доступ к настоящему документу, вы добровольно соглашаетесь соблюдать условия настоящего уведомления. Если вы не согласны с информацией, указанной в настоящем уведомлении, не открывайте данный документ в целом или любую из страниц данного документа.
          Информация, содержащаяся в данном документе, представлена на принципах «как есть» и «как доступна» и, следовательно, вы несете риски, связанные с использованием данной информации или с доверием к ней. Получатель не должен полагаться на информацию, содержащуюся в данном документе, а также на ее полноту, точность или объективность, при использовании в любых целях. Информация, содержащаяся в данном документе, подлежит проверке на подлинность, полноту и изменения. ПАО  «Россети Ленэнерго» не проводила проверку подлинности содержания данных материалов. Соответственно, Общество, его дочерние компании, акционеры, директора, руководители, сотрудники или любые иные лица не предоставляют никаких явных или подразумеваемых заверений и гарантий относительно точности, полноты или объективности информации или мнений, содержащихся в данных материалах. ПАО  «Россети Ленэнерго», ее дочерние компании, акционеры, директора, руководители, сотрудники или любые иные лица не принимают на себя никакой ответственности любого рода по любым убыткам любой природы, связанных с использованием данных материалов или их содержания или возникших  любым другим образом в связи данными материалами.
          В данных материалах содержатся высказывания о будущих событиях и ожиданиях, которые являются прогнозными высказываниями. Любые высказывания в данных материалах, которые не являются утверждением уже случившихся фактов, являются прогнозами и содержат известные и неизвестные риски, неопределенности и другие факторы, которые могут привести к тому, что фактические результаты, эффективность деятельности или достижения будут существенно отличаться от любых прогнозируемых результатов, эффективности деятельности или достижений, указанных или подразумеваемых в таких прогнозных высказываниях. Мы не берем не себя никаких обязательств относительно пересмотра прогнозных высказываний, содержащихся в данном документе, для отражения фактических результатов, изменений в допущениях или факторах, влияющих на данные прогнозы. Результаты или эффективность деятельности в прошлом не могут служить показателем будущих результатов или эффективности.</v>
      </c>
      <c r="C5" s="469"/>
      <c r="D5" s="469"/>
      <c r="E5" s="469"/>
      <c r="F5" s="469"/>
      <c r="G5" s="469"/>
      <c r="H5" s="469"/>
      <c r="I5" s="469"/>
      <c r="J5" s="469"/>
      <c r="K5" s="469"/>
      <c r="L5" s="469"/>
      <c r="M5" s="469"/>
      <c r="N5" s="469"/>
      <c r="O5" s="469"/>
      <c r="P5" s="469"/>
      <c r="Q5" s="469"/>
      <c r="R5" s="469"/>
    </row>
    <row r="6" spans="1:38" ht="14.25" customHeight="1" x14ac:dyDescent="0.2">
      <c r="B6" s="469"/>
      <c r="C6" s="469"/>
      <c r="D6" s="469"/>
      <c r="E6" s="469"/>
      <c r="F6" s="469"/>
      <c r="G6" s="469"/>
      <c r="H6" s="469"/>
      <c r="I6" s="469"/>
      <c r="J6" s="469"/>
      <c r="K6" s="469"/>
      <c r="L6" s="469"/>
      <c r="M6" s="469"/>
      <c r="N6" s="469"/>
      <c r="O6" s="469"/>
      <c r="P6" s="469"/>
      <c r="Q6" s="469"/>
      <c r="R6" s="469"/>
    </row>
    <row r="7" spans="1:38" x14ac:dyDescent="0.2">
      <c r="B7" s="469"/>
      <c r="C7" s="469"/>
      <c r="D7" s="469"/>
      <c r="E7" s="469"/>
      <c r="F7" s="469"/>
      <c r="G7" s="469"/>
      <c r="H7" s="469"/>
      <c r="I7" s="469"/>
      <c r="J7" s="469"/>
      <c r="K7" s="469"/>
      <c r="L7" s="469"/>
      <c r="M7" s="469"/>
      <c r="N7" s="469"/>
      <c r="O7" s="469"/>
      <c r="P7" s="469"/>
      <c r="Q7" s="469"/>
      <c r="R7" s="469"/>
    </row>
    <row r="8" spans="1:38" x14ac:dyDescent="0.2">
      <c r="B8" s="469"/>
      <c r="C8" s="469"/>
      <c r="D8" s="469"/>
      <c r="E8" s="469"/>
      <c r="F8" s="469"/>
      <c r="G8" s="469"/>
      <c r="H8" s="469"/>
      <c r="I8" s="469"/>
      <c r="J8" s="469"/>
      <c r="K8" s="469"/>
      <c r="L8" s="469"/>
      <c r="M8" s="469"/>
      <c r="N8" s="469"/>
      <c r="O8" s="469"/>
      <c r="P8" s="469"/>
      <c r="Q8" s="469"/>
      <c r="R8" s="469"/>
    </row>
    <row r="9" spans="1:38" x14ac:dyDescent="0.2">
      <c r="B9" s="469"/>
      <c r="C9" s="469"/>
      <c r="D9" s="469"/>
      <c r="E9" s="469"/>
      <c r="F9" s="469"/>
      <c r="G9" s="469"/>
      <c r="H9" s="469"/>
      <c r="I9" s="469"/>
      <c r="J9" s="469"/>
      <c r="K9" s="469"/>
      <c r="L9" s="469"/>
      <c r="M9" s="469"/>
      <c r="N9" s="469"/>
      <c r="O9" s="469"/>
      <c r="P9" s="469"/>
      <c r="Q9" s="469"/>
      <c r="R9" s="469"/>
    </row>
    <row r="10" spans="1:38" x14ac:dyDescent="0.2">
      <c r="B10" s="469"/>
      <c r="C10" s="469"/>
      <c r="D10" s="469"/>
      <c r="E10" s="469"/>
      <c r="F10" s="469"/>
      <c r="G10" s="469"/>
      <c r="H10" s="469"/>
      <c r="I10" s="469"/>
      <c r="J10" s="469"/>
      <c r="K10" s="469"/>
      <c r="L10" s="469"/>
      <c r="M10" s="469"/>
      <c r="N10" s="469"/>
      <c r="O10" s="469"/>
      <c r="P10" s="469"/>
      <c r="Q10" s="469"/>
      <c r="R10" s="469"/>
    </row>
    <row r="11" spans="1:38" x14ac:dyDescent="0.2">
      <c r="B11" s="469"/>
      <c r="C11" s="469"/>
      <c r="D11" s="469"/>
      <c r="E11" s="469"/>
      <c r="F11" s="469"/>
      <c r="G11" s="469"/>
      <c r="H11" s="469"/>
      <c r="I11" s="469"/>
      <c r="J11" s="469"/>
      <c r="K11" s="469"/>
      <c r="L11" s="469"/>
      <c r="M11" s="469"/>
      <c r="N11" s="469"/>
      <c r="O11" s="469"/>
      <c r="P11" s="469"/>
      <c r="Q11" s="469"/>
      <c r="R11" s="469"/>
    </row>
    <row r="12" spans="1:38" x14ac:dyDescent="0.2">
      <c r="B12" s="469"/>
      <c r="C12" s="469"/>
      <c r="D12" s="469"/>
      <c r="E12" s="469"/>
      <c r="F12" s="469"/>
      <c r="G12" s="469"/>
      <c r="H12" s="469"/>
      <c r="I12" s="469"/>
      <c r="J12" s="469"/>
      <c r="K12" s="469"/>
      <c r="L12" s="469"/>
      <c r="M12" s="469"/>
      <c r="N12" s="469"/>
      <c r="O12" s="469"/>
      <c r="P12" s="469"/>
      <c r="Q12" s="469"/>
      <c r="R12" s="469"/>
    </row>
    <row r="13" spans="1:38" x14ac:dyDescent="0.2">
      <c r="B13" s="469"/>
      <c r="C13" s="469"/>
      <c r="D13" s="469"/>
      <c r="E13" s="469"/>
      <c r="F13" s="469"/>
      <c r="G13" s="469"/>
      <c r="H13" s="469"/>
      <c r="I13" s="469"/>
      <c r="J13" s="469"/>
      <c r="K13" s="469"/>
      <c r="L13" s="469"/>
      <c r="M13" s="469"/>
      <c r="N13" s="469"/>
      <c r="O13" s="469"/>
      <c r="P13" s="469"/>
      <c r="Q13" s="469"/>
      <c r="R13" s="469"/>
    </row>
    <row r="14" spans="1:38" x14ac:dyDescent="0.2">
      <c r="B14" s="469"/>
      <c r="C14" s="469"/>
      <c r="D14" s="469"/>
      <c r="E14" s="469"/>
      <c r="F14" s="469"/>
      <c r="G14" s="469"/>
      <c r="H14" s="469"/>
      <c r="I14" s="469"/>
      <c r="J14" s="469"/>
      <c r="K14" s="469"/>
      <c r="L14" s="469"/>
      <c r="M14" s="469"/>
      <c r="N14" s="469"/>
      <c r="O14" s="469"/>
      <c r="P14" s="469"/>
      <c r="Q14" s="469"/>
      <c r="R14" s="469"/>
    </row>
    <row r="15" spans="1:38" ht="12.75" customHeight="1" x14ac:dyDescent="0.2">
      <c r="B15" s="469"/>
      <c r="C15" s="469"/>
      <c r="D15" s="469"/>
      <c r="E15" s="469"/>
      <c r="F15" s="469"/>
      <c r="G15" s="469"/>
      <c r="H15" s="469"/>
      <c r="I15" s="469"/>
      <c r="J15" s="469"/>
      <c r="K15" s="469"/>
      <c r="L15" s="469"/>
      <c r="M15" s="469"/>
      <c r="N15" s="469"/>
      <c r="O15" s="469"/>
      <c r="P15" s="469"/>
      <c r="Q15" s="469"/>
      <c r="R15" s="469"/>
      <c r="W15" s="32"/>
      <c r="X15" s="32"/>
      <c r="Y15" s="32"/>
      <c r="Z15" s="32"/>
      <c r="AA15" s="32"/>
      <c r="AB15" s="32"/>
      <c r="AC15" s="32"/>
      <c r="AD15" s="32"/>
      <c r="AE15" s="32"/>
      <c r="AF15" s="32"/>
      <c r="AG15" s="32"/>
      <c r="AH15" s="32"/>
      <c r="AI15" s="32"/>
      <c r="AJ15" s="32"/>
      <c r="AK15" s="32"/>
      <c r="AL15" s="32"/>
    </row>
    <row r="16" spans="1:38" x14ac:dyDescent="0.2">
      <c r="B16" s="469"/>
      <c r="C16" s="469"/>
      <c r="D16" s="469"/>
      <c r="E16" s="469"/>
      <c r="F16" s="469"/>
      <c r="G16" s="469"/>
      <c r="H16" s="469"/>
      <c r="I16" s="469"/>
      <c r="J16" s="469"/>
      <c r="K16" s="469"/>
      <c r="L16" s="469"/>
      <c r="M16" s="469"/>
      <c r="N16" s="469"/>
      <c r="O16" s="469"/>
      <c r="P16" s="469"/>
      <c r="Q16" s="469"/>
      <c r="R16" s="469"/>
      <c r="V16" s="32"/>
      <c r="W16" s="32"/>
      <c r="X16" s="32"/>
      <c r="Y16" s="32"/>
      <c r="Z16" s="32"/>
      <c r="AA16" s="32"/>
      <c r="AB16" s="32"/>
      <c r="AC16" s="32"/>
      <c r="AD16" s="32"/>
      <c r="AE16" s="32"/>
      <c r="AF16" s="32"/>
      <c r="AG16" s="32"/>
      <c r="AH16" s="32"/>
      <c r="AI16" s="32"/>
      <c r="AJ16" s="32"/>
      <c r="AK16" s="32"/>
      <c r="AL16" s="32"/>
    </row>
    <row r="17" spans="2:38" x14ac:dyDescent="0.2">
      <c r="B17" s="469"/>
      <c r="C17" s="469"/>
      <c r="D17" s="469"/>
      <c r="E17" s="469"/>
      <c r="F17" s="469"/>
      <c r="G17" s="469"/>
      <c r="H17" s="469"/>
      <c r="I17" s="469"/>
      <c r="J17" s="469"/>
      <c r="K17" s="469"/>
      <c r="L17" s="469"/>
      <c r="M17" s="469"/>
      <c r="N17" s="469"/>
      <c r="O17" s="469"/>
      <c r="P17" s="469"/>
      <c r="Q17" s="469"/>
      <c r="R17" s="469"/>
      <c r="V17" s="32"/>
      <c r="W17" s="32"/>
      <c r="X17" s="32"/>
      <c r="Y17" s="32"/>
      <c r="Z17" s="32"/>
      <c r="AA17" s="32"/>
      <c r="AB17" s="32"/>
      <c r="AC17" s="32"/>
      <c r="AD17" s="32"/>
      <c r="AE17" s="32"/>
      <c r="AF17" s="32"/>
      <c r="AG17" s="32"/>
      <c r="AH17" s="32"/>
      <c r="AI17" s="32"/>
      <c r="AJ17" s="32"/>
      <c r="AK17" s="32"/>
      <c r="AL17" s="32"/>
    </row>
    <row r="18" spans="2:38" x14ac:dyDescent="0.2">
      <c r="B18" s="469"/>
      <c r="C18" s="469"/>
      <c r="D18" s="469"/>
      <c r="E18" s="469"/>
      <c r="F18" s="469"/>
      <c r="G18" s="469"/>
      <c r="H18" s="469"/>
      <c r="I18" s="469"/>
      <c r="J18" s="469"/>
      <c r="K18" s="469"/>
      <c r="L18" s="469"/>
      <c r="M18" s="469"/>
      <c r="N18" s="469"/>
      <c r="O18" s="469"/>
      <c r="P18" s="469"/>
      <c r="Q18" s="469"/>
      <c r="R18" s="469"/>
      <c r="V18" s="32"/>
      <c r="W18" s="32"/>
      <c r="X18" s="32"/>
      <c r="Y18" s="32"/>
      <c r="Z18" s="32"/>
      <c r="AA18" s="32"/>
      <c r="AB18" s="32"/>
      <c r="AC18" s="32"/>
      <c r="AD18" s="32"/>
      <c r="AE18" s="32"/>
      <c r="AF18" s="32"/>
      <c r="AG18" s="32"/>
      <c r="AH18" s="32"/>
      <c r="AI18" s="32"/>
      <c r="AJ18" s="32"/>
      <c r="AK18" s="32"/>
      <c r="AL18" s="32"/>
    </row>
    <row r="19" spans="2:38" x14ac:dyDescent="0.2">
      <c r="B19" s="469"/>
      <c r="C19" s="469"/>
      <c r="D19" s="469"/>
      <c r="E19" s="469"/>
      <c r="F19" s="469"/>
      <c r="G19" s="469"/>
      <c r="H19" s="469"/>
      <c r="I19" s="469"/>
      <c r="J19" s="469"/>
      <c r="K19" s="469"/>
      <c r="L19" s="469"/>
      <c r="M19" s="469"/>
      <c r="N19" s="469"/>
      <c r="O19" s="469"/>
      <c r="P19" s="469"/>
      <c r="Q19" s="469"/>
      <c r="R19" s="469"/>
      <c r="V19" s="32"/>
      <c r="W19" s="32"/>
      <c r="X19" s="32"/>
      <c r="Y19" s="32"/>
      <c r="Z19" s="32"/>
      <c r="AA19" s="32"/>
      <c r="AB19" s="32"/>
      <c r="AC19" s="32"/>
      <c r="AD19" s="32"/>
      <c r="AE19" s="32"/>
      <c r="AF19" s="32"/>
      <c r="AG19" s="32"/>
      <c r="AH19" s="32"/>
      <c r="AI19" s="32"/>
      <c r="AJ19" s="32"/>
      <c r="AK19" s="32"/>
      <c r="AL19" s="32"/>
    </row>
    <row r="20" spans="2:38" x14ac:dyDescent="0.2">
      <c r="B20" s="469"/>
      <c r="C20" s="469"/>
      <c r="D20" s="469"/>
      <c r="E20" s="469"/>
      <c r="F20" s="469"/>
      <c r="G20" s="469"/>
      <c r="H20" s="469"/>
      <c r="I20" s="469"/>
      <c r="J20" s="469"/>
      <c r="K20" s="469"/>
      <c r="L20" s="469"/>
      <c r="M20" s="469"/>
      <c r="N20" s="469"/>
      <c r="O20" s="469"/>
      <c r="P20" s="469"/>
      <c r="Q20" s="469"/>
      <c r="R20" s="469"/>
      <c r="V20" s="32"/>
      <c r="W20" s="32"/>
      <c r="X20" s="32"/>
      <c r="Y20" s="32"/>
      <c r="Z20" s="32"/>
      <c r="AA20" s="32"/>
      <c r="AB20" s="32"/>
      <c r="AC20" s="32"/>
      <c r="AD20" s="32"/>
      <c r="AE20" s="32"/>
      <c r="AF20" s="32"/>
      <c r="AG20" s="32"/>
      <c r="AH20" s="32"/>
      <c r="AI20" s="32"/>
      <c r="AJ20" s="32"/>
      <c r="AK20" s="32"/>
      <c r="AL20" s="32"/>
    </row>
    <row r="21" spans="2:38" x14ac:dyDescent="0.2">
      <c r="B21" s="469"/>
      <c r="C21" s="469"/>
      <c r="D21" s="469"/>
      <c r="E21" s="469"/>
      <c r="F21" s="469"/>
      <c r="G21" s="469"/>
      <c r="H21" s="469"/>
      <c r="I21" s="469"/>
      <c r="J21" s="469"/>
      <c r="K21" s="469"/>
      <c r="L21" s="469"/>
      <c r="M21" s="469"/>
      <c r="N21" s="469"/>
      <c r="O21" s="469"/>
      <c r="P21" s="469"/>
      <c r="Q21" s="469"/>
      <c r="R21" s="469"/>
      <c r="V21" s="32"/>
      <c r="W21" s="32"/>
      <c r="X21" s="32"/>
      <c r="Y21" s="32"/>
      <c r="Z21" s="32"/>
      <c r="AA21" s="32"/>
      <c r="AB21" s="32"/>
      <c r="AC21" s="32"/>
      <c r="AD21" s="32"/>
      <c r="AE21" s="32"/>
      <c r="AF21" s="32"/>
      <c r="AG21" s="32"/>
      <c r="AH21" s="32"/>
      <c r="AI21" s="32"/>
      <c r="AJ21" s="32"/>
      <c r="AK21" s="32"/>
      <c r="AL21" s="32"/>
    </row>
    <row r="22" spans="2:38" x14ac:dyDescent="0.2">
      <c r="B22" s="469"/>
      <c r="C22" s="469"/>
      <c r="D22" s="469"/>
      <c r="E22" s="469"/>
      <c r="F22" s="469"/>
      <c r="G22" s="469"/>
      <c r="H22" s="469"/>
      <c r="I22" s="469"/>
      <c r="J22" s="469"/>
      <c r="K22" s="469"/>
      <c r="L22" s="469"/>
      <c r="M22" s="469"/>
      <c r="N22" s="469"/>
      <c r="O22" s="469"/>
      <c r="P22" s="469"/>
      <c r="Q22" s="469"/>
      <c r="R22" s="469"/>
      <c r="V22" s="32"/>
      <c r="W22" s="32"/>
      <c r="X22" s="32"/>
      <c r="Y22" s="32"/>
      <c r="Z22" s="32"/>
      <c r="AA22" s="32"/>
      <c r="AB22" s="32"/>
      <c r="AC22" s="32"/>
      <c r="AD22" s="32"/>
      <c r="AE22" s="32"/>
      <c r="AF22" s="32"/>
      <c r="AG22" s="32"/>
      <c r="AH22" s="32"/>
      <c r="AI22" s="32"/>
      <c r="AJ22" s="32"/>
      <c r="AK22" s="32"/>
      <c r="AL22" s="32"/>
    </row>
    <row r="23" spans="2:38" x14ac:dyDescent="0.2">
      <c r="B23" s="469"/>
      <c r="C23" s="469"/>
      <c r="D23" s="469"/>
      <c r="E23" s="469"/>
      <c r="F23" s="469"/>
      <c r="G23" s="469"/>
      <c r="H23" s="469"/>
      <c r="I23" s="469"/>
      <c r="J23" s="469"/>
      <c r="K23" s="469"/>
      <c r="L23" s="469"/>
      <c r="M23" s="469"/>
      <c r="N23" s="469"/>
      <c r="O23" s="469"/>
      <c r="P23" s="469"/>
      <c r="Q23" s="469"/>
      <c r="R23" s="469"/>
      <c r="V23" s="32"/>
      <c r="W23" s="32"/>
      <c r="X23" s="32"/>
      <c r="Y23" s="32"/>
      <c r="Z23" s="32"/>
      <c r="AA23" s="32"/>
      <c r="AB23" s="32"/>
      <c r="AC23" s="32"/>
      <c r="AD23" s="32"/>
      <c r="AE23" s="32"/>
      <c r="AF23" s="32"/>
      <c r="AG23" s="32"/>
      <c r="AH23" s="32"/>
      <c r="AI23" s="32"/>
      <c r="AJ23" s="32"/>
      <c r="AK23" s="32"/>
      <c r="AL23" s="32"/>
    </row>
    <row r="24" spans="2:38" x14ac:dyDescent="0.2">
      <c r="B24" s="469"/>
      <c r="C24" s="469"/>
      <c r="D24" s="469"/>
      <c r="E24" s="469"/>
      <c r="F24" s="469"/>
      <c r="G24" s="469"/>
      <c r="H24" s="469"/>
      <c r="I24" s="469"/>
      <c r="J24" s="469"/>
      <c r="K24" s="469"/>
      <c r="L24" s="469"/>
      <c r="M24" s="469"/>
      <c r="N24" s="469"/>
      <c r="O24" s="469"/>
      <c r="P24" s="469"/>
      <c r="Q24" s="469"/>
      <c r="R24" s="469"/>
      <c r="V24" s="32"/>
      <c r="W24" s="32"/>
      <c r="X24" s="32"/>
      <c r="Y24" s="32"/>
      <c r="Z24" s="32"/>
      <c r="AA24" s="32"/>
      <c r="AB24" s="32"/>
      <c r="AC24" s="32"/>
      <c r="AD24" s="32"/>
      <c r="AE24" s="32"/>
      <c r="AF24" s="32"/>
      <c r="AG24" s="32"/>
      <c r="AH24" s="32"/>
      <c r="AI24" s="32"/>
      <c r="AJ24" s="32"/>
      <c r="AK24" s="32"/>
      <c r="AL24" s="32"/>
    </row>
    <row r="25" spans="2:38" x14ac:dyDescent="0.2">
      <c r="B25" s="469"/>
      <c r="C25" s="469"/>
      <c r="D25" s="469"/>
      <c r="E25" s="469"/>
      <c r="F25" s="469"/>
      <c r="G25" s="469"/>
      <c r="H25" s="469"/>
      <c r="I25" s="469"/>
      <c r="J25" s="469"/>
      <c r="K25" s="469"/>
      <c r="L25" s="469"/>
      <c r="M25" s="469"/>
      <c r="N25" s="469"/>
      <c r="O25" s="469"/>
      <c r="P25" s="469"/>
      <c r="Q25" s="469"/>
      <c r="R25" s="469"/>
      <c r="V25" s="32"/>
      <c r="W25" s="32"/>
      <c r="X25" s="32"/>
      <c r="Y25" s="32"/>
      <c r="Z25" s="32"/>
      <c r="AA25" s="32"/>
      <c r="AB25" s="32"/>
      <c r="AC25" s="32"/>
      <c r="AD25" s="32"/>
      <c r="AE25" s="32"/>
      <c r="AF25" s="32"/>
      <c r="AG25" s="32"/>
      <c r="AH25" s="32"/>
      <c r="AI25" s="32"/>
      <c r="AJ25" s="32"/>
      <c r="AK25" s="32"/>
      <c r="AL25" s="32"/>
    </row>
    <row r="26" spans="2:38" x14ac:dyDescent="0.2">
      <c r="B26" s="469"/>
      <c r="C26" s="469"/>
      <c r="D26" s="469"/>
      <c r="E26" s="469"/>
      <c r="F26" s="469"/>
      <c r="G26" s="469"/>
      <c r="H26" s="469"/>
      <c r="I26" s="469"/>
      <c r="J26" s="469"/>
      <c r="K26" s="469"/>
      <c r="L26" s="469"/>
      <c r="M26" s="469"/>
      <c r="N26" s="469"/>
      <c r="O26" s="469"/>
      <c r="P26" s="469"/>
      <c r="Q26" s="469"/>
      <c r="R26" s="469"/>
      <c r="V26" s="32"/>
      <c r="W26" s="32"/>
      <c r="X26" s="32"/>
      <c r="Y26" s="32"/>
      <c r="Z26" s="32"/>
      <c r="AA26" s="32"/>
      <c r="AB26" s="32"/>
      <c r="AC26" s="32"/>
      <c r="AD26" s="32"/>
      <c r="AE26" s="32"/>
      <c r="AF26" s="32"/>
      <c r="AG26" s="32"/>
      <c r="AH26" s="32"/>
      <c r="AI26" s="32"/>
      <c r="AJ26" s="32"/>
      <c r="AK26" s="32"/>
      <c r="AL26" s="32"/>
    </row>
    <row r="27" spans="2:38" x14ac:dyDescent="0.2">
      <c r="B27" s="469"/>
      <c r="C27" s="469"/>
      <c r="D27" s="469"/>
      <c r="E27" s="469"/>
      <c r="F27" s="469"/>
      <c r="G27" s="469"/>
      <c r="H27" s="469"/>
      <c r="I27" s="469"/>
      <c r="J27" s="469"/>
      <c r="K27" s="469"/>
      <c r="L27" s="469"/>
      <c r="M27" s="469"/>
      <c r="N27" s="469"/>
      <c r="O27" s="469"/>
      <c r="P27" s="469"/>
      <c r="Q27" s="469"/>
      <c r="R27" s="469"/>
      <c r="V27" s="32"/>
      <c r="W27" s="32"/>
      <c r="X27" s="32"/>
      <c r="Y27" s="32"/>
      <c r="Z27" s="32"/>
      <c r="AA27" s="32"/>
      <c r="AB27" s="32"/>
      <c r="AC27" s="32"/>
      <c r="AD27" s="32"/>
      <c r="AE27" s="32"/>
      <c r="AF27" s="32"/>
      <c r="AG27" s="32"/>
      <c r="AH27" s="32"/>
      <c r="AI27" s="32"/>
      <c r="AJ27" s="32"/>
      <c r="AK27" s="32"/>
      <c r="AL27" s="32"/>
    </row>
    <row r="28" spans="2:38" x14ac:dyDescent="0.2">
      <c r="B28" s="469"/>
      <c r="C28" s="469"/>
      <c r="D28" s="469"/>
      <c r="E28" s="469"/>
      <c r="F28" s="469"/>
      <c r="G28" s="469"/>
      <c r="H28" s="469"/>
      <c r="I28" s="469"/>
      <c r="J28" s="469"/>
      <c r="K28" s="469"/>
      <c r="L28" s="469"/>
      <c r="M28" s="469"/>
      <c r="N28" s="469"/>
      <c r="O28" s="469"/>
      <c r="P28" s="469"/>
      <c r="Q28" s="469"/>
      <c r="R28" s="469"/>
      <c r="V28" s="32"/>
      <c r="W28" s="32"/>
      <c r="X28" s="32"/>
      <c r="Y28" s="32"/>
      <c r="Z28" s="32"/>
      <c r="AA28" s="32"/>
      <c r="AB28" s="32"/>
      <c r="AC28" s="32"/>
      <c r="AD28" s="32"/>
      <c r="AE28" s="32"/>
      <c r="AF28" s="32"/>
      <c r="AG28" s="32"/>
      <c r="AH28" s="32"/>
      <c r="AI28" s="32"/>
      <c r="AJ28" s="32"/>
      <c r="AK28" s="32"/>
      <c r="AL28" s="32"/>
    </row>
    <row r="29" spans="2:38" x14ac:dyDescent="0.2">
      <c r="B29" s="469"/>
      <c r="C29" s="469"/>
      <c r="D29" s="469"/>
      <c r="E29" s="469"/>
      <c r="F29" s="469"/>
      <c r="G29" s="469"/>
      <c r="H29" s="469"/>
      <c r="I29" s="469"/>
      <c r="J29" s="469"/>
      <c r="K29" s="469"/>
      <c r="L29" s="469"/>
      <c r="M29" s="469"/>
      <c r="N29" s="469"/>
      <c r="O29" s="469"/>
      <c r="P29" s="469"/>
      <c r="Q29" s="469"/>
      <c r="R29" s="469"/>
      <c r="V29" s="32"/>
      <c r="W29" s="32"/>
      <c r="X29" s="32"/>
      <c r="Y29" s="32"/>
      <c r="Z29" s="32"/>
      <c r="AA29" s="32"/>
      <c r="AB29" s="32"/>
      <c r="AC29" s="32"/>
      <c r="AD29" s="32"/>
      <c r="AE29" s="32"/>
      <c r="AF29" s="32"/>
      <c r="AG29" s="32"/>
      <c r="AH29" s="32"/>
      <c r="AI29" s="32"/>
      <c r="AJ29" s="32"/>
      <c r="AK29" s="32"/>
      <c r="AL29" s="32"/>
    </row>
    <row r="30" spans="2:38" x14ac:dyDescent="0.2">
      <c r="B30" s="469"/>
      <c r="C30" s="469"/>
      <c r="D30" s="469"/>
      <c r="E30" s="469"/>
      <c r="F30" s="469"/>
      <c r="G30" s="469"/>
      <c r="H30" s="469"/>
      <c r="I30" s="469"/>
      <c r="J30" s="469"/>
      <c r="K30" s="469"/>
      <c r="L30" s="469"/>
      <c r="M30" s="469"/>
      <c r="N30" s="469"/>
      <c r="O30" s="469"/>
      <c r="P30" s="469"/>
      <c r="Q30" s="469"/>
      <c r="R30" s="469"/>
      <c r="V30" s="32"/>
      <c r="W30" s="32"/>
      <c r="X30" s="32"/>
      <c r="Y30" s="32"/>
      <c r="Z30" s="32"/>
      <c r="AA30" s="32"/>
      <c r="AB30" s="32"/>
      <c r="AC30" s="32"/>
      <c r="AD30" s="32"/>
      <c r="AE30" s="32"/>
      <c r="AF30" s="32"/>
      <c r="AG30" s="32"/>
      <c r="AH30" s="32"/>
      <c r="AI30" s="32"/>
      <c r="AJ30" s="32"/>
      <c r="AK30" s="32"/>
      <c r="AL30" s="32"/>
    </row>
    <row r="31" spans="2:38" x14ac:dyDescent="0.2">
      <c r="B31" s="469"/>
      <c r="C31" s="469"/>
      <c r="D31" s="469"/>
      <c r="E31" s="469"/>
      <c r="F31" s="469"/>
      <c r="G31" s="469"/>
      <c r="H31" s="469"/>
      <c r="I31" s="469"/>
      <c r="J31" s="469"/>
      <c r="K31" s="469"/>
      <c r="L31" s="469"/>
      <c r="M31" s="469"/>
      <c r="N31" s="469"/>
      <c r="O31" s="469"/>
      <c r="P31" s="469"/>
      <c r="Q31" s="469"/>
      <c r="R31" s="469"/>
      <c r="V31" s="32"/>
      <c r="W31" s="32"/>
      <c r="X31" s="32"/>
      <c r="Y31" s="32"/>
      <c r="Z31" s="32"/>
      <c r="AA31" s="32"/>
      <c r="AB31" s="32"/>
      <c r="AC31" s="32"/>
      <c r="AD31" s="32"/>
      <c r="AE31" s="32"/>
      <c r="AF31" s="32"/>
      <c r="AG31" s="32"/>
      <c r="AH31" s="32"/>
      <c r="AI31" s="32"/>
      <c r="AJ31" s="32"/>
      <c r="AK31" s="32"/>
      <c r="AL31" s="32"/>
    </row>
    <row r="32" spans="2:38" x14ac:dyDescent="0.2">
      <c r="B32" s="469"/>
      <c r="C32" s="469"/>
      <c r="D32" s="469"/>
      <c r="E32" s="469"/>
      <c r="F32" s="469"/>
      <c r="G32" s="469"/>
      <c r="H32" s="469"/>
      <c r="I32" s="469"/>
      <c r="J32" s="469"/>
      <c r="K32" s="469"/>
      <c r="L32" s="469"/>
      <c r="M32" s="469"/>
      <c r="N32" s="469"/>
      <c r="O32" s="469"/>
      <c r="P32" s="469"/>
      <c r="Q32" s="469"/>
      <c r="R32" s="469"/>
      <c r="V32" s="32"/>
      <c r="W32" s="32"/>
      <c r="X32" s="32"/>
      <c r="Y32" s="32"/>
      <c r="Z32" s="32"/>
      <c r="AA32" s="32"/>
      <c r="AB32" s="32"/>
      <c r="AC32" s="32"/>
      <c r="AD32" s="32"/>
      <c r="AE32" s="32"/>
      <c r="AF32" s="32"/>
      <c r="AG32" s="32"/>
      <c r="AH32" s="32"/>
      <c r="AI32" s="32"/>
      <c r="AJ32" s="32"/>
      <c r="AK32" s="32"/>
      <c r="AL32" s="32"/>
    </row>
    <row r="33" spans="1:38" x14ac:dyDescent="0.2">
      <c r="B33" s="32"/>
      <c r="C33" s="32"/>
      <c r="D33" s="32"/>
      <c r="E33" s="32"/>
      <c r="F33" s="32"/>
      <c r="G33" s="32"/>
      <c r="H33" s="32"/>
      <c r="I33" s="32"/>
      <c r="J33" s="32"/>
      <c r="K33" s="32"/>
      <c r="L33" s="32"/>
      <c r="M33" s="32"/>
      <c r="N33" s="32"/>
      <c r="O33" s="32"/>
      <c r="P33" s="32"/>
      <c r="Q33" s="32"/>
      <c r="R33" s="32"/>
      <c r="V33" s="32"/>
      <c r="W33" s="32"/>
      <c r="X33" s="32"/>
      <c r="Y33" s="32"/>
      <c r="Z33" s="32"/>
      <c r="AA33" s="32"/>
      <c r="AB33" s="32"/>
      <c r="AC33" s="32"/>
      <c r="AD33" s="32"/>
      <c r="AE33" s="32"/>
      <c r="AF33" s="32"/>
      <c r="AG33" s="32"/>
      <c r="AH33" s="32"/>
      <c r="AI33" s="32"/>
      <c r="AJ33" s="32"/>
      <c r="AK33" s="32"/>
      <c r="AL33" s="32"/>
    </row>
    <row r="34" spans="1:38" ht="409.5" x14ac:dyDescent="0.2">
      <c r="A34" s="340" t="s">
        <v>353</v>
      </c>
      <c r="B34" s="33" t="s">
        <v>352</v>
      </c>
      <c r="V34" s="32"/>
      <c r="W34" s="32"/>
      <c r="X34" s="32"/>
      <c r="Y34" s="32"/>
      <c r="Z34" s="32"/>
      <c r="AA34" s="32"/>
      <c r="AB34" s="32"/>
      <c r="AC34" s="32"/>
      <c r="AD34" s="32"/>
      <c r="AE34" s="32"/>
      <c r="AF34" s="32"/>
      <c r="AG34" s="32"/>
      <c r="AH34" s="32"/>
      <c r="AI34" s="32"/>
      <c r="AJ34" s="32"/>
      <c r="AK34" s="32"/>
      <c r="AL34" s="32"/>
    </row>
    <row r="35" spans="1:38" x14ac:dyDescent="0.2">
      <c r="V35" s="32"/>
      <c r="W35" s="32"/>
      <c r="X35" s="32"/>
      <c r="Y35" s="32"/>
      <c r="Z35" s="32"/>
      <c r="AA35" s="32"/>
      <c r="AB35" s="32"/>
      <c r="AC35" s="32"/>
      <c r="AD35" s="32"/>
      <c r="AE35" s="32"/>
      <c r="AF35" s="32"/>
      <c r="AG35" s="32"/>
      <c r="AH35" s="32"/>
      <c r="AI35" s="32"/>
      <c r="AJ35" s="32"/>
      <c r="AK35" s="32"/>
      <c r="AL35" s="32"/>
    </row>
    <row r="36" spans="1:38" x14ac:dyDescent="0.2">
      <c r="V36" s="32"/>
      <c r="W36" s="32"/>
      <c r="X36" s="32"/>
      <c r="Y36" s="32"/>
      <c r="Z36" s="32"/>
      <c r="AA36" s="32"/>
      <c r="AB36" s="32"/>
      <c r="AC36" s="32"/>
      <c r="AD36" s="32"/>
      <c r="AE36" s="32"/>
      <c r="AF36" s="32"/>
      <c r="AG36" s="32"/>
      <c r="AH36" s="32"/>
      <c r="AI36" s="32"/>
      <c r="AJ36" s="32"/>
      <c r="AK36" s="32"/>
      <c r="AL36" s="32"/>
    </row>
    <row r="37" spans="1:38" x14ac:dyDescent="0.2">
      <c r="V37" s="32"/>
      <c r="W37" s="32"/>
      <c r="X37" s="32"/>
      <c r="Y37" s="32"/>
      <c r="Z37" s="32"/>
      <c r="AA37" s="32"/>
      <c r="AB37" s="32"/>
      <c r="AC37" s="32"/>
      <c r="AD37" s="32"/>
      <c r="AE37" s="32"/>
      <c r="AF37" s="32"/>
      <c r="AG37" s="32"/>
      <c r="AH37" s="32"/>
      <c r="AI37" s="32"/>
      <c r="AJ37" s="32"/>
      <c r="AK37" s="32"/>
      <c r="AL37" s="32"/>
    </row>
    <row r="38" spans="1:38" x14ac:dyDescent="0.2">
      <c r="V38" s="32"/>
      <c r="W38" s="32"/>
      <c r="X38" s="32"/>
      <c r="Y38" s="32"/>
      <c r="Z38" s="32"/>
      <c r="AA38" s="32"/>
      <c r="AB38" s="32"/>
      <c r="AC38" s="32"/>
      <c r="AD38" s="32"/>
      <c r="AE38" s="32"/>
      <c r="AF38" s="32"/>
      <c r="AG38" s="32"/>
      <c r="AH38" s="32"/>
      <c r="AI38" s="32"/>
      <c r="AJ38" s="32"/>
      <c r="AK38" s="32"/>
      <c r="AL38" s="32"/>
    </row>
    <row r="39" spans="1:38" x14ac:dyDescent="0.2">
      <c r="V39" s="32"/>
      <c r="W39" s="32"/>
      <c r="X39" s="32"/>
      <c r="Y39" s="32"/>
      <c r="Z39" s="32"/>
      <c r="AA39" s="32"/>
      <c r="AB39" s="32"/>
      <c r="AC39" s="32"/>
      <c r="AD39" s="32"/>
      <c r="AE39" s="32"/>
      <c r="AF39" s="32"/>
      <c r="AG39" s="32"/>
      <c r="AH39" s="32"/>
      <c r="AI39" s="32"/>
      <c r="AJ39" s="32"/>
      <c r="AK39" s="32"/>
      <c r="AL39" s="32"/>
    </row>
    <row r="40" spans="1:38" x14ac:dyDescent="0.2">
      <c r="V40" s="32"/>
      <c r="W40" s="32"/>
      <c r="X40" s="32"/>
      <c r="Y40" s="32"/>
      <c r="Z40" s="32"/>
      <c r="AA40" s="32"/>
      <c r="AB40" s="32"/>
      <c r="AC40" s="32"/>
      <c r="AD40" s="32"/>
      <c r="AE40" s="32"/>
      <c r="AF40" s="32"/>
      <c r="AG40" s="32"/>
      <c r="AH40" s="32"/>
      <c r="AI40" s="32"/>
      <c r="AJ40" s="32"/>
      <c r="AK40" s="32"/>
      <c r="AL40" s="32"/>
    </row>
    <row r="41" spans="1:38" x14ac:dyDescent="0.2">
      <c r="V41" s="32"/>
      <c r="W41" s="32"/>
      <c r="X41" s="32"/>
      <c r="Y41" s="32"/>
      <c r="Z41" s="32"/>
      <c r="AA41" s="32"/>
      <c r="AB41" s="32"/>
      <c r="AC41" s="32"/>
      <c r="AD41" s="32"/>
      <c r="AE41" s="32"/>
      <c r="AF41" s="32"/>
      <c r="AG41" s="32"/>
      <c r="AH41" s="32"/>
      <c r="AI41" s="32"/>
      <c r="AJ41" s="32"/>
      <c r="AK41" s="32"/>
      <c r="AL41" s="32"/>
    </row>
    <row r="42" spans="1:38" x14ac:dyDescent="0.2">
      <c r="V42" s="32"/>
      <c r="W42" s="32"/>
      <c r="X42" s="32"/>
      <c r="Y42" s="32"/>
      <c r="Z42" s="32"/>
      <c r="AA42" s="32"/>
      <c r="AB42" s="32"/>
      <c r="AC42" s="32"/>
      <c r="AD42" s="32"/>
      <c r="AE42" s="32"/>
      <c r="AF42" s="32"/>
      <c r="AG42" s="32"/>
      <c r="AH42" s="32"/>
      <c r="AI42" s="32"/>
      <c r="AJ42" s="32"/>
      <c r="AK42" s="32"/>
      <c r="AL42" s="32"/>
    </row>
    <row r="43" spans="1:38" x14ac:dyDescent="0.2">
      <c r="D43" s="63"/>
      <c r="E43" s="63"/>
      <c r="V43" s="32"/>
      <c r="W43" s="32"/>
      <c r="X43" s="32"/>
      <c r="Y43" s="32"/>
      <c r="Z43" s="32"/>
      <c r="AA43" s="32"/>
      <c r="AB43" s="32"/>
      <c r="AC43" s="32"/>
      <c r="AD43" s="32"/>
      <c r="AE43" s="32"/>
      <c r="AF43" s="32"/>
      <c r="AG43" s="32"/>
      <c r="AH43" s="32"/>
      <c r="AI43" s="32"/>
      <c r="AJ43" s="32"/>
      <c r="AK43" s="32"/>
      <c r="AL43" s="32"/>
    </row>
    <row r="44" spans="1:38" x14ac:dyDescent="0.2">
      <c r="V44" s="32"/>
      <c r="W44" s="32"/>
      <c r="X44" s="32"/>
      <c r="Y44" s="32"/>
      <c r="Z44" s="32"/>
      <c r="AA44" s="32"/>
      <c r="AB44" s="32"/>
      <c r="AC44" s="32"/>
      <c r="AD44" s="32"/>
      <c r="AE44" s="32"/>
      <c r="AF44" s="32"/>
      <c r="AG44" s="32"/>
      <c r="AH44" s="32"/>
      <c r="AI44" s="32"/>
      <c r="AJ44" s="32"/>
      <c r="AK44" s="32"/>
      <c r="AL44" s="32"/>
    </row>
    <row r="45" spans="1:38" x14ac:dyDescent="0.2">
      <c r="V45" s="32"/>
      <c r="W45" s="32"/>
      <c r="X45" s="32"/>
      <c r="Y45" s="32"/>
      <c r="Z45" s="32"/>
      <c r="AA45" s="32"/>
      <c r="AB45" s="32"/>
      <c r="AC45" s="32"/>
      <c r="AD45" s="32"/>
      <c r="AE45" s="32"/>
      <c r="AF45" s="32"/>
      <c r="AG45" s="32"/>
      <c r="AH45" s="32"/>
      <c r="AI45" s="32"/>
      <c r="AJ45" s="32"/>
      <c r="AK45" s="32"/>
      <c r="AL45" s="32"/>
    </row>
    <row r="46" spans="1:38" x14ac:dyDescent="0.2">
      <c r="V46" s="64"/>
      <c r="W46" s="64"/>
      <c r="X46" s="64"/>
      <c r="Y46" s="64"/>
      <c r="Z46" s="64"/>
      <c r="AA46" s="64"/>
      <c r="AB46" s="64"/>
      <c r="AC46" s="64"/>
      <c r="AD46" s="64"/>
      <c r="AE46" s="64"/>
      <c r="AF46" s="64"/>
      <c r="AG46" s="64"/>
      <c r="AH46" s="64"/>
      <c r="AI46" s="64"/>
      <c r="AJ46" s="64"/>
      <c r="AK46" s="64"/>
      <c r="AL46" s="64"/>
    </row>
  </sheetData>
  <mergeCells count="7">
    <mergeCell ref="B5:R32"/>
    <mergeCell ref="A1:S1"/>
    <mergeCell ref="C4:Q4"/>
    <mergeCell ref="R4:S4"/>
    <mergeCell ref="Q2:R2"/>
    <mergeCell ref="B2:C2"/>
    <mergeCell ref="Q3:R3"/>
  </mergeCells>
  <hyperlinks>
    <hyperlink ref="Q2:R2" location="Definitions!A1" display="Definitions!A1"/>
    <hyperlink ref="B2:C2" location="Contents!A1" display="Contents!A1"/>
    <hyperlink ref="Q3:R3" location="Contents!A1" display="Contents!A1"/>
  </hyperlinks>
  <pageMargins left="0.7" right="0.7" top="0.75" bottom="0.75" header="0.3" footer="0.3"/>
  <pageSetup paperSize="256" scale="8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R71"/>
  <sheetViews>
    <sheetView view="pageBreakPreview" zoomScaleNormal="70" zoomScaleSheetLayoutView="100" workbookViewId="0">
      <selection activeCell="B2" sqref="B2"/>
    </sheetView>
  </sheetViews>
  <sheetFormatPr defaultColWidth="9.140625" defaultRowHeight="12.75" x14ac:dyDescent="0.2"/>
  <cols>
    <col min="1" max="1" width="2.42578125" style="2" customWidth="1"/>
    <col min="2" max="2" width="18" style="2" customWidth="1"/>
    <col min="3" max="7" width="19" style="2" customWidth="1"/>
    <col min="8" max="8" width="2" style="2" customWidth="1"/>
    <col min="9" max="16384" width="9.140625" style="2"/>
  </cols>
  <sheetData>
    <row r="1" spans="2:13" ht="57.75" customHeight="1" x14ac:dyDescent="0.2">
      <c r="B1" s="476"/>
      <c r="C1" s="476"/>
      <c r="D1" s="476"/>
      <c r="E1" s="476"/>
    </row>
    <row r="2" spans="2:13" ht="12.75" customHeight="1" x14ac:dyDescent="0.2">
      <c r="B2" s="381" t="str">
        <f>IF(Contents!$B$8="English","Contents","Содержание")</f>
        <v>Содержание</v>
      </c>
      <c r="D2" s="61"/>
      <c r="E2" s="61"/>
      <c r="G2" s="381" t="str">
        <f>IF(Contents!$B$8="English","Back","Вперед")</f>
        <v>Вперед</v>
      </c>
      <c r="H2" s="61"/>
      <c r="I2" s="61"/>
      <c r="J2" s="61"/>
      <c r="M2" s="61"/>
    </row>
    <row r="3" spans="2:13" ht="12.75" customHeight="1" x14ac:dyDescent="0.2">
      <c r="B3" s="381"/>
      <c r="C3" s="381"/>
      <c r="D3" s="378"/>
      <c r="E3" s="378"/>
      <c r="G3" s="381" t="str">
        <f>IF(Contents!$B$8="English","Back","Назад")</f>
        <v>Назад</v>
      </c>
      <c r="H3" s="378"/>
      <c r="I3" s="378"/>
      <c r="J3" s="378"/>
      <c r="M3" s="378"/>
    </row>
    <row r="4" spans="2:13" ht="18.75" x14ac:dyDescent="0.3">
      <c r="B4" s="475" t="str">
        <f>IF(Contents!$B$8="English","Definitions","Глоссарий")</f>
        <v>Глоссарий</v>
      </c>
      <c r="C4" s="475"/>
      <c r="D4" s="475"/>
      <c r="E4" s="475"/>
      <c r="F4" s="475"/>
      <c r="G4" s="475"/>
      <c r="H4" s="62"/>
      <c r="I4" s="62"/>
      <c r="J4" s="62"/>
      <c r="K4" s="62"/>
      <c r="L4" s="471"/>
      <c r="M4" s="471"/>
    </row>
    <row r="5" spans="2:13" s="31" customFormat="1" x14ac:dyDescent="0.2">
      <c r="B5" s="37"/>
      <c r="C5" s="37"/>
      <c r="D5" s="37"/>
      <c r="E5" s="37"/>
    </row>
    <row r="6" spans="2:13" s="31" customFormat="1" x14ac:dyDescent="0.2">
      <c r="B6" s="474" t="str">
        <f>IF(Contents!B8="English",B38,D38)</f>
        <v>Аббревиатуры</v>
      </c>
      <c r="C6" s="474"/>
      <c r="D6" s="35"/>
      <c r="E6" s="35"/>
      <c r="F6" s="36"/>
      <c r="G6" s="36"/>
    </row>
    <row r="7" spans="2:13" s="31" customFormat="1" x14ac:dyDescent="0.2">
      <c r="B7" s="41" t="str">
        <f>IF(Contents!$B$8="English",B39,D39)</f>
        <v>EBITDA</v>
      </c>
      <c r="C7" s="42" t="str">
        <f>IF(Contents!$B$8="English",C39,E39)</f>
        <v>прибыль до вычета процентов, налогов и амортизации</v>
      </c>
      <c r="F7" s="68"/>
      <c r="G7" s="68"/>
      <c r="H7" s="68"/>
      <c r="I7" s="68"/>
      <c r="J7" s="68"/>
      <c r="K7" s="68"/>
      <c r="L7" s="69"/>
    </row>
    <row r="8" spans="2:13" s="31" customFormat="1" x14ac:dyDescent="0.2">
      <c r="B8" s="41" t="str">
        <f>IF(Contents!$B$8="English",B40,D40)</f>
        <v>EPS</v>
      </c>
      <c r="C8" s="42" t="str">
        <f>IF(Contents!$B$8="English",C40,E40)</f>
        <v>прибыль на акцию</v>
      </c>
      <c r="F8" s="70"/>
      <c r="G8" s="70"/>
      <c r="H8" s="70"/>
      <c r="I8" s="70"/>
      <c r="J8" s="70"/>
      <c r="K8" s="70"/>
      <c r="L8" s="70"/>
    </row>
    <row r="9" spans="2:13" s="31" customFormat="1" x14ac:dyDescent="0.2">
      <c r="B9" s="41" t="str">
        <f>IF(Contents!$B$8="English",B41,D41)</f>
        <v>EV</v>
      </c>
      <c r="C9" s="42" t="str">
        <f>IF(Contents!$B$8="English",C41,E41)</f>
        <v>стомость предприятия</v>
      </c>
      <c r="F9" s="70"/>
      <c r="G9" s="70"/>
      <c r="H9" s="70"/>
      <c r="I9" s="70"/>
      <c r="J9" s="70"/>
      <c r="K9" s="70"/>
      <c r="L9" s="70"/>
    </row>
    <row r="10" spans="2:13" s="31" customFormat="1" x14ac:dyDescent="0.2">
      <c r="B10" s="41" t="str">
        <f>IF(Contents!$B$8="English",B42,D42)</f>
        <v>ВВП</v>
      </c>
      <c r="C10" s="42" t="str">
        <f>IF(Contents!$B$8="English",C42,E42)</f>
        <v>валовой внутренний продукт</v>
      </c>
      <c r="F10" s="70"/>
      <c r="G10" s="70"/>
      <c r="H10" s="70"/>
      <c r="I10" s="70"/>
      <c r="J10" s="70"/>
      <c r="K10" s="70"/>
      <c r="L10" s="70"/>
    </row>
    <row r="11" spans="2:13" x14ac:dyDescent="0.2">
      <c r="B11" s="41" t="str">
        <f>IF(Contents!$B$8="English",B43,D43)</f>
        <v>ДГУ</v>
      </c>
      <c r="C11" s="42" t="str">
        <f>IF(Contents!$B$8="English",C43,E43)</f>
        <v>дизель-генераторные установки</v>
      </c>
      <c r="F11" s="70"/>
      <c r="G11" s="70"/>
      <c r="H11" s="70"/>
      <c r="I11" s="70"/>
      <c r="J11" s="70"/>
      <c r="K11" s="70"/>
      <c r="L11" s="70"/>
    </row>
    <row r="12" spans="2:13" x14ac:dyDescent="0.2">
      <c r="B12" s="41" t="str">
        <f>IF(Contents!$B$8="English",B44,D44)</f>
        <v>ИПП</v>
      </c>
      <c r="C12" s="42" t="str">
        <f>IF(Contents!$B$8="English",C44,E44)</f>
        <v>индекс промышленного производства</v>
      </c>
      <c r="F12" s="70"/>
      <c r="G12" s="70"/>
      <c r="H12" s="70"/>
      <c r="I12" s="70"/>
      <c r="J12" s="70"/>
      <c r="K12" s="70"/>
      <c r="L12" s="70"/>
    </row>
    <row r="13" spans="2:13" x14ac:dyDescent="0.2">
      <c r="B13" s="41" t="str">
        <f>IF(Contents!$B$8="English",B45,D45)</f>
        <v>ИПЦ</v>
      </c>
      <c r="C13" s="42" t="str">
        <f>IF(Contents!$B$8="English",C45,E45)</f>
        <v>индекс потребительских цен</v>
      </c>
      <c r="F13" s="70"/>
      <c r="G13" s="70"/>
      <c r="H13" s="70"/>
      <c r="I13" s="70"/>
      <c r="J13" s="70"/>
      <c r="K13" s="70"/>
      <c r="L13" s="70"/>
    </row>
    <row r="14" spans="2:13" x14ac:dyDescent="0.2">
      <c r="B14" s="41" t="str">
        <f>IF(Contents!$B$8="English",B46,D46)</f>
        <v>НВВ</v>
      </c>
      <c r="C14" s="42" t="str">
        <f>IF(Contents!$B$8="English",C46,E46)</f>
        <v>необходимая валовая выручка</v>
      </c>
      <c r="F14" s="71"/>
      <c r="G14" s="71"/>
      <c r="H14" s="71"/>
      <c r="I14" s="71"/>
      <c r="J14" s="71"/>
      <c r="K14" s="71"/>
      <c r="L14" s="71"/>
    </row>
    <row r="15" spans="2:13" x14ac:dyDescent="0.2">
      <c r="B15" s="41" t="str">
        <f>IF(Contents!$B$8="English",B47,D47)</f>
        <v>НДС</v>
      </c>
      <c r="C15" s="42" t="str">
        <f>IF(Contents!$B$8="English",C47,E47)</f>
        <v>налог на добавленную стоимость</v>
      </c>
      <c r="F15" s="70"/>
      <c r="G15" s="70"/>
      <c r="H15" s="70"/>
      <c r="I15" s="70"/>
      <c r="J15" s="70"/>
      <c r="K15" s="70"/>
      <c r="L15" s="70"/>
    </row>
    <row r="16" spans="2:13" x14ac:dyDescent="0.2">
      <c r="B16" s="41" t="str">
        <f>IF(Contents!$B$8="English",B48,D48)</f>
        <v>ОФ</v>
      </c>
      <c r="C16" s="42" t="str">
        <f>IF(Contents!$B$8="English",C48,E48)</f>
        <v>основные фонды</v>
      </c>
      <c r="F16" s="70"/>
      <c r="G16" s="70"/>
      <c r="H16" s="70"/>
      <c r="I16" s="70"/>
      <c r="J16" s="70"/>
      <c r="K16" s="70"/>
      <c r="L16" s="70"/>
    </row>
    <row r="17" spans="2:12" x14ac:dyDescent="0.2">
      <c r="B17" s="41" t="str">
        <f>IF(Contents!$B$8="English",B49,D49)</f>
        <v>ПС</v>
      </c>
      <c r="C17" s="42" t="str">
        <f>IF(Contents!$B$8="English",C49,E49)</f>
        <v>подстанция</v>
      </c>
      <c r="F17" s="70"/>
      <c r="G17" s="70"/>
      <c r="H17" s="70"/>
      <c r="I17" s="70"/>
      <c r="J17" s="70"/>
      <c r="K17" s="70"/>
      <c r="L17" s="70"/>
    </row>
    <row r="18" spans="2:12" x14ac:dyDescent="0.2">
      <c r="B18" s="41" t="str">
        <f>IF(Contents!$B$8="English",B50,D50)</f>
        <v>СДТУ</v>
      </c>
      <c r="C18" s="42" t="str">
        <f>IF(Contents!$B$8="English",C50,E50)</f>
        <v>средства диспетчерского и технологического управления</v>
      </c>
      <c r="F18" s="70"/>
      <c r="G18" s="70"/>
      <c r="H18" s="70"/>
      <c r="I18" s="70"/>
      <c r="J18" s="70"/>
      <c r="K18" s="70"/>
      <c r="L18" s="70"/>
    </row>
    <row r="19" spans="2:12" x14ac:dyDescent="0.2">
      <c r="B19" s="41" t="str">
        <f>IF(Contents!$B$8="English",B51,D51)</f>
        <v>ССО</v>
      </c>
      <c r="C19" s="42" t="str">
        <f>IF(Contents!$B$8="English",C51,E51)</f>
        <v>сторонняя сетевая организация</v>
      </c>
      <c r="F19" s="70"/>
      <c r="G19" s="70"/>
      <c r="H19" s="70"/>
      <c r="I19" s="70"/>
      <c r="J19" s="70"/>
      <c r="K19" s="70"/>
      <c r="L19" s="70"/>
    </row>
    <row r="20" spans="2:12" x14ac:dyDescent="0.2">
      <c r="B20" s="41" t="str">
        <f>IF(Contents!$B$8="English",B52,D52)</f>
        <v>ТБР</v>
      </c>
      <c r="C20" s="42" t="str">
        <f>IF(Contents!$B$8="English",C52,E52)</f>
        <v>тарифно-балансовое решение</v>
      </c>
      <c r="F20" s="70"/>
      <c r="G20" s="70"/>
      <c r="H20" s="70"/>
      <c r="I20" s="70"/>
      <c r="J20" s="70"/>
      <c r="K20" s="70"/>
      <c r="L20" s="70"/>
    </row>
    <row r="21" spans="2:12" x14ac:dyDescent="0.2">
      <c r="B21" s="41" t="str">
        <f>IF(Contents!$B$8="English",B53,D53)</f>
        <v>ТП</v>
      </c>
      <c r="C21" s="42" t="str">
        <f>IF(Contents!$B$8="English",C53,E53)</f>
        <v>трансформаторные подстанции</v>
      </c>
      <c r="F21" s="70"/>
      <c r="G21" s="70"/>
      <c r="H21" s="70"/>
      <c r="I21" s="70"/>
      <c r="J21" s="70"/>
      <c r="K21" s="70"/>
      <c r="L21" s="70"/>
    </row>
    <row r="22" spans="2:12" x14ac:dyDescent="0.2">
      <c r="B22" s="41" t="str">
        <f>IF(Contents!$B$8="English",B54,D54)</f>
        <v>ЧОК</v>
      </c>
      <c r="C22" s="42" t="str">
        <f>IF(Contents!$B$8="English",C54,E54)</f>
        <v>чистый оборотный капитал</v>
      </c>
      <c r="F22" s="70"/>
      <c r="G22" s="70"/>
      <c r="H22" s="70"/>
      <c r="I22" s="70"/>
      <c r="J22" s="70"/>
      <c r="K22" s="70"/>
      <c r="L22" s="70"/>
    </row>
    <row r="23" spans="2:12" x14ac:dyDescent="0.2">
      <c r="B23" s="41"/>
      <c r="C23" s="42"/>
      <c r="F23" s="70"/>
      <c r="G23" s="70"/>
      <c r="H23" s="70"/>
      <c r="I23" s="70"/>
      <c r="J23" s="70"/>
      <c r="K23" s="70"/>
      <c r="L23" s="70"/>
    </row>
    <row r="24" spans="2:12" x14ac:dyDescent="0.2">
      <c r="B24" s="474" t="str">
        <f>IF(Contents!B8="English",B55,D55)</f>
        <v>Ед. изм.</v>
      </c>
      <c r="C24" s="474"/>
      <c r="F24" s="70"/>
      <c r="G24" s="70"/>
      <c r="H24" s="70"/>
      <c r="I24" s="70"/>
      <c r="J24" s="70"/>
      <c r="K24" s="70"/>
      <c r="L24" s="70"/>
    </row>
    <row r="25" spans="2:12" x14ac:dyDescent="0.2">
      <c r="B25" s="41" t="str">
        <f>IF(Contents!$B$8="English",B56,D56)</f>
        <v>% г-к-г</v>
      </c>
      <c r="C25" s="42" t="str">
        <f>IF(Contents!$B$8="English",C56,E56)</f>
        <v>изменения в %, сравниваемые с прошлым годом</v>
      </c>
      <c r="F25" s="68"/>
      <c r="G25" s="68"/>
      <c r="H25" s="68"/>
      <c r="I25" s="68"/>
      <c r="J25" s="68"/>
      <c r="K25" s="68"/>
      <c r="L25" s="69"/>
    </row>
    <row r="26" spans="2:12" x14ac:dyDescent="0.2">
      <c r="B26" s="41" t="str">
        <f>IF(Contents!$B$8="English",B57,D57)</f>
        <v>кВт</v>
      </c>
      <c r="C26" s="42" t="str">
        <f>IF(Contents!$B$8="English",C57,E57)</f>
        <v>киловатт</v>
      </c>
      <c r="F26" s="70"/>
      <c r="G26" s="70"/>
      <c r="H26" s="70"/>
      <c r="I26" s="70"/>
      <c r="J26" s="70"/>
      <c r="K26" s="70"/>
      <c r="L26" s="70"/>
    </row>
    <row r="27" spans="2:12" x14ac:dyDescent="0.2">
      <c r="B27" s="41" t="str">
        <f>IF(Contents!$B$8="English",B58,D58)</f>
        <v>кВтч</v>
      </c>
      <c r="C27" s="42" t="str">
        <f>IF(Contents!$B$8="English",C58,E58)</f>
        <v>киловатт-час</v>
      </c>
      <c r="F27" s="70"/>
      <c r="G27" s="70"/>
      <c r="H27" s="70"/>
      <c r="I27" s="70"/>
      <c r="J27" s="70"/>
      <c r="K27" s="70"/>
      <c r="L27" s="70"/>
    </row>
    <row r="28" spans="2:12" x14ac:dyDescent="0.2">
      <c r="B28" s="41" t="str">
        <f>IF(Contents!$B$8="English",B59,D59)</f>
        <v>км</v>
      </c>
      <c r="C28" s="42" t="str">
        <f>IF(Contents!$B$8="English",C59,E59)</f>
        <v>километр</v>
      </c>
      <c r="F28" s="70"/>
      <c r="G28" s="70"/>
      <c r="H28" s="70"/>
      <c r="I28" s="70"/>
      <c r="J28" s="70"/>
      <c r="K28" s="70"/>
      <c r="L28" s="70"/>
    </row>
    <row r="29" spans="2:12" x14ac:dyDescent="0.2">
      <c r="B29" s="41" t="str">
        <f>IF(Contents!$B$8="English",B60,D60)</f>
        <v>МВА</v>
      </c>
      <c r="C29" s="42" t="str">
        <f>IF(Contents!$B$8="English",C60,E60)</f>
        <v>мегавольт-ампер</v>
      </c>
      <c r="F29" s="70"/>
      <c r="G29" s="70"/>
      <c r="H29" s="70"/>
      <c r="I29" s="70"/>
      <c r="J29" s="70"/>
      <c r="K29" s="70"/>
      <c r="L29" s="70"/>
    </row>
    <row r="30" spans="2:12" x14ac:dyDescent="0.2">
      <c r="B30" s="41" t="str">
        <f>IF(Contents!$B$8="English",B61,D61)</f>
        <v>МВт</v>
      </c>
      <c r="C30" s="42" t="str">
        <f>IF(Contents!$B$8="English",C61,E61)</f>
        <v>мегаватт</v>
      </c>
      <c r="F30" s="70"/>
      <c r="G30" s="70"/>
      <c r="H30" s="70"/>
      <c r="I30" s="70"/>
      <c r="J30" s="70"/>
      <c r="K30" s="70"/>
      <c r="L30" s="70"/>
    </row>
    <row r="31" spans="2:12" x14ac:dyDescent="0.2">
      <c r="B31" s="41" t="str">
        <f>IF(Contents!$B$8="English",B62,D62)</f>
        <v>млн кВтч</v>
      </c>
      <c r="C31" s="42" t="str">
        <f>IF(Contents!$B$8="English",C62,E62)</f>
        <v>миллион киловатт-часов</v>
      </c>
      <c r="F31" s="70"/>
      <c r="G31" s="70"/>
      <c r="H31" s="70"/>
      <c r="I31" s="70"/>
      <c r="J31" s="70"/>
      <c r="K31" s="70"/>
      <c r="L31" s="70"/>
    </row>
    <row r="32" spans="2:12" x14ac:dyDescent="0.2">
      <c r="B32" s="41" t="str">
        <f>IF(Contents!$B$8="English",B63,D63)</f>
        <v>руб.</v>
      </c>
      <c r="C32" s="42" t="str">
        <f>IF(Contents!$B$8="English",C63,E63)</f>
        <v>российский рубль</v>
      </c>
      <c r="F32" s="70"/>
      <c r="G32" s="70"/>
      <c r="H32" s="70"/>
      <c r="I32" s="70"/>
      <c r="J32" s="70"/>
      <c r="K32" s="70"/>
      <c r="L32" s="70"/>
    </row>
    <row r="33" spans="2:18" x14ac:dyDescent="0.2">
      <c r="B33" s="41" t="str">
        <f>IF(Contents!$B$8="English",B64,D64)</f>
        <v>млн руб.</v>
      </c>
      <c r="C33" s="42" t="str">
        <f>IF(Contents!$B$8="English",C64,E64)</f>
        <v>миллион российских рублей</v>
      </c>
      <c r="F33" s="70"/>
      <c r="G33" s="70"/>
      <c r="H33" s="70"/>
      <c r="I33" s="70"/>
      <c r="J33" s="70"/>
      <c r="K33" s="70"/>
      <c r="L33" s="70"/>
    </row>
    <row r="34" spans="2:18" x14ac:dyDescent="0.2">
      <c r="B34" s="41" t="str">
        <f>IF(Contents!$B$8="English",B65,D65)</f>
        <v>тыс. руб.</v>
      </c>
      <c r="C34" s="42" t="str">
        <f>IF(Contents!$B$8="English",C65,E65)</f>
        <v>тысяча российских рублей</v>
      </c>
      <c r="F34" s="70"/>
      <c r="G34" s="70"/>
      <c r="H34" s="70"/>
      <c r="I34" s="70"/>
      <c r="J34" s="70"/>
      <c r="K34" s="70"/>
      <c r="L34" s="70"/>
    </row>
    <row r="35" spans="2:18" x14ac:dyDescent="0.2">
      <c r="B35" s="41" t="str">
        <f>IF(Contents!$B$8="English",B66,D66)</f>
        <v>у.е.</v>
      </c>
      <c r="C35" s="42" t="str">
        <f>IF(Contents!$B$8="English",C66,E66)</f>
        <v>условные единицы</v>
      </c>
      <c r="F35" s="70"/>
      <c r="G35" s="70"/>
      <c r="H35" s="70"/>
      <c r="I35" s="70"/>
      <c r="J35" s="70"/>
      <c r="K35" s="70"/>
      <c r="L35" s="70"/>
    </row>
    <row r="36" spans="2:18" ht="15" x14ac:dyDescent="0.25">
      <c r="B36" s="41" t="str">
        <f>IF(Contents!$B$8="English",B67,D67)</f>
        <v>шт</v>
      </c>
      <c r="C36" s="42" t="str">
        <f>IF(Contents!$B$8="English",C67,E67)</f>
        <v>штук</v>
      </c>
      <c r="F36" s="72"/>
      <c r="G36" s="72"/>
      <c r="H36" s="72"/>
      <c r="I36" s="40"/>
      <c r="J36" s="40"/>
      <c r="K36" s="40"/>
      <c r="L36" s="70"/>
    </row>
    <row r="38" spans="2:18" s="48" customFormat="1" ht="15" x14ac:dyDescent="0.25">
      <c r="B38" s="287" t="s">
        <v>115</v>
      </c>
      <c r="C38" s="288"/>
      <c r="D38" s="289" t="s">
        <v>114</v>
      </c>
      <c r="E38" s="74"/>
      <c r="F38" s="75"/>
      <c r="G38" s="75"/>
      <c r="H38" s="75"/>
      <c r="I38" s="75"/>
      <c r="J38" s="75"/>
      <c r="K38" s="75"/>
      <c r="L38" s="75"/>
      <c r="M38" s="75"/>
      <c r="N38" s="75"/>
      <c r="O38" s="75"/>
      <c r="P38" s="75"/>
      <c r="Q38" s="75"/>
      <c r="R38" s="267"/>
    </row>
    <row r="39" spans="2:18" s="48" customFormat="1" ht="12.75" customHeight="1" x14ac:dyDescent="0.2">
      <c r="B39" s="288" t="s">
        <v>226</v>
      </c>
      <c r="C39" s="291" t="s">
        <v>372</v>
      </c>
      <c r="D39" s="288" t="s">
        <v>226</v>
      </c>
      <c r="E39" s="291" t="s">
        <v>255</v>
      </c>
      <c r="F39" s="76"/>
      <c r="G39" s="76"/>
      <c r="H39" s="76"/>
      <c r="I39" s="76"/>
      <c r="J39" s="76"/>
      <c r="K39" s="76"/>
      <c r="L39" s="76"/>
      <c r="M39" s="76"/>
      <c r="N39" s="76"/>
      <c r="O39" s="76"/>
      <c r="P39" s="76"/>
      <c r="Q39" s="76"/>
      <c r="R39" s="76"/>
    </row>
    <row r="40" spans="2:18" s="48" customFormat="1" x14ac:dyDescent="0.2">
      <c r="B40" s="288" t="s">
        <v>253</v>
      </c>
      <c r="C40" s="291" t="s">
        <v>256</v>
      </c>
      <c r="D40" s="288" t="s">
        <v>253</v>
      </c>
      <c r="E40" s="291" t="s">
        <v>254</v>
      </c>
      <c r="F40" s="76"/>
      <c r="G40" s="76"/>
      <c r="H40" s="76"/>
      <c r="I40" s="76"/>
      <c r="J40" s="76"/>
      <c r="K40" s="76"/>
      <c r="L40" s="76"/>
      <c r="M40" s="76"/>
      <c r="N40" s="76"/>
      <c r="O40" s="76"/>
      <c r="P40" s="76"/>
      <c r="Q40" s="76"/>
      <c r="R40" s="76"/>
    </row>
    <row r="41" spans="2:18" s="48" customFormat="1" x14ac:dyDescent="0.2">
      <c r="B41" s="288" t="s">
        <v>250</v>
      </c>
      <c r="C41" s="291" t="s">
        <v>302</v>
      </c>
      <c r="D41" s="288" t="s">
        <v>250</v>
      </c>
      <c r="E41" s="291" t="s">
        <v>314</v>
      </c>
      <c r="F41" s="76"/>
      <c r="G41" s="76"/>
      <c r="H41" s="76"/>
      <c r="I41" s="76"/>
      <c r="J41" s="76"/>
      <c r="K41" s="76"/>
      <c r="L41" s="76"/>
      <c r="M41" s="76"/>
      <c r="N41" s="76"/>
      <c r="O41" s="76"/>
      <c r="P41" s="76"/>
      <c r="Q41" s="76"/>
      <c r="R41" s="76"/>
    </row>
    <row r="42" spans="2:18" s="48" customFormat="1" ht="15" customHeight="1" x14ac:dyDescent="0.25">
      <c r="B42" s="290" t="s">
        <v>144</v>
      </c>
      <c r="C42" s="291" t="s">
        <v>373</v>
      </c>
      <c r="D42" s="290" t="s">
        <v>125</v>
      </c>
      <c r="E42" s="291" t="s">
        <v>316</v>
      </c>
      <c r="F42" s="76"/>
      <c r="G42" s="76"/>
      <c r="H42" s="76"/>
      <c r="I42" s="76"/>
      <c r="J42" s="76"/>
      <c r="K42" s="76"/>
      <c r="L42" s="76"/>
      <c r="M42" s="76"/>
      <c r="N42" s="76"/>
      <c r="O42" s="76"/>
      <c r="P42" s="76"/>
      <c r="Q42" s="76"/>
      <c r="R42" s="76"/>
    </row>
    <row r="43" spans="2:18" s="48" customFormat="1" ht="15" customHeight="1" x14ac:dyDescent="0.2">
      <c r="B43" s="288" t="s">
        <v>265</v>
      </c>
      <c r="C43" s="291" t="s">
        <v>267</v>
      </c>
      <c r="D43" s="288" t="s">
        <v>269</v>
      </c>
      <c r="E43" s="291" t="s">
        <v>271</v>
      </c>
      <c r="F43" s="76"/>
      <c r="G43" s="76"/>
      <c r="H43" s="76"/>
      <c r="I43" s="76"/>
      <c r="J43" s="76"/>
      <c r="K43" s="76"/>
      <c r="L43" s="76"/>
      <c r="M43" s="76"/>
      <c r="N43" s="76"/>
      <c r="O43" s="76"/>
      <c r="P43" s="76"/>
      <c r="Q43" s="76"/>
      <c r="R43" s="76"/>
    </row>
    <row r="44" spans="2:18" s="48" customFormat="1" ht="15" customHeight="1" x14ac:dyDescent="0.25">
      <c r="B44" s="290" t="s">
        <v>296</v>
      </c>
      <c r="C44" s="292" t="s">
        <v>300</v>
      </c>
      <c r="D44" s="290" t="s">
        <v>295</v>
      </c>
      <c r="E44" s="292" t="s">
        <v>309</v>
      </c>
      <c r="F44" s="76"/>
      <c r="G44" s="76"/>
      <c r="H44" s="76"/>
      <c r="I44" s="76"/>
      <c r="J44" s="76"/>
      <c r="K44" s="76"/>
      <c r="L44" s="76"/>
      <c r="M44" s="76"/>
      <c r="N44" s="76"/>
      <c r="O44" s="76"/>
      <c r="P44" s="76"/>
      <c r="Q44" s="76"/>
      <c r="R44" s="76"/>
    </row>
    <row r="45" spans="2:18" s="48" customFormat="1" ht="15" customHeight="1" x14ac:dyDescent="0.25">
      <c r="B45" s="290" t="s">
        <v>146</v>
      </c>
      <c r="C45" s="291" t="s">
        <v>299</v>
      </c>
      <c r="D45" s="290" t="s">
        <v>294</v>
      </c>
      <c r="E45" s="291" t="s">
        <v>308</v>
      </c>
      <c r="F45" s="76"/>
      <c r="G45" s="76"/>
      <c r="H45" s="76"/>
      <c r="I45" s="76"/>
      <c r="J45" s="76"/>
      <c r="K45" s="76"/>
      <c r="L45" s="76"/>
      <c r="M45" s="76"/>
      <c r="N45" s="76"/>
      <c r="O45" s="76"/>
      <c r="P45" s="76"/>
      <c r="Q45" s="76"/>
      <c r="R45" s="76"/>
    </row>
    <row r="46" spans="2:18" s="48" customFormat="1" ht="12.75" customHeight="1" x14ac:dyDescent="0.2">
      <c r="B46" s="288" t="s">
        <v>326</v>
      </c>
      <c r="C46" s="291" t="s">
        <v>325</v>
      </c>
      <c r="D46" s="288" t="s">
        <v>317</v>
      </c>
      <c r="E46" s="291" t="s">
        <v>328</v>
      </c>
      <c r="F46" s="76"/>
      <c r="G46" s="76"/>
      <c r="H46" s="76"/>
      <c r="I46" s="76"/>
      <c r="J46" s="76"/>
      <c r="K46" s="76"/>
      <c r="L46" s="76"/>
      <c r="M46" s="76"/>
      <c r="N46" s="76"/>
      <c r="O46" s="76"/>
      <c r="P46" s="76"/>
      <c r="Q46" s="76"/>
      <c r="R46" s="76"/>
    </row>
    <row r="47" spans="2:18" s="48" customFormat="1" ht="12.75" customHeight="1" x14ac:dyDescent="0.2">
      <c r="B47" s="288" t="s">
        <v>281</v>
      </c>
      <c r="C47" s="291" t="s">
        <v>298</v>
      </c>
      <c r="D47" s="288" t="s">
        <v>282</v>
      </c>
      <c r="E47" s="291" t="s">
        <v>313</v>
      </c>
      <c r="F47" s="76"/>
      <c r="G47" s="76"/>
      <c r="H47" s="76"/>
      <c r="I47" s="76"/>
      <c r="J47" s="76"/>
      <c r="K47" s="76"/>
      <c r="L47" s="76"/>
      <c r="M47" s="76"/>
      <c r="N47" s="76"/>
      <c r="O47" s="76"/>
      <c r="P47" s="76"/>
      <c r="Q47" s="76"/>
      <c r="R47" s="76"/>
    </row>
    <row r="48" spans="2:18" s="48" customFormat="1" x14ac:dyDescent="0.2">
      <c r="B48" s="288" t="s">
        <v>305</v>
      </c>
      <c r="C48" s="291" t="s">
        <v>307</v>
      </c>
      <c r="D48" s="288" t="s">
        <v>306</v>
      </c>
      <c r="E48" s="291" t="s">
        <v>315</v>
      </c>
      <c r="F48" s="76"/>
      <c r="G48" s="76"/>
      <c r="H48" s="76"/>
      <c r="I48" s="76"/>
      <c r="J48" s="76"/>
      <c r="K48" s="76"/>
      <c r="L48" s="76"/>
      <c r="M48" s="76"/>
      <c r="N48" s="76"/>
      <c r="O48" s="76"/>
      <c r="P48" s="76"/>
      <c r="Q48" s="76"/>
      <c r="R48" s="76"/>
    </row>
    <row r="49" spans="2:18" s="48" customFormat="1" x14ac:dyDescent="0.2">
      <c r="B49" s="288" t="s">
        <v>289</v>
      </c>
      <c r="C49" s="291" t="s">
        <v>290</v>
      </c>
      <c r="D49" s="288" t="s">
        <v>20</v>
      </c>
      <c r="E49" s="291" t="s">
        <v>311</v>
      </c>
      <c r="F49" s="76"/>
      <c r="G49" s="76"/>
      <c r="H49" s="76"/>
      <c r="I49" s="76"/>
      <c r="J49" s="76"/>
      <c r="K49" s="76"/>
      <c r="L49" s="76"/>
      <c r="M49" s="76"/>
      <c r="N49" s="76"/>
      <c r="O49" s="76"/>
      <c r="P49" s="76"/>
      <c r="Q49" s="76"/>
      <c r="R49" s="76"/>
    </row>
    <row r="50" spans="2:18" s="48" customFormat="1" x14ac:dyDescent="0.2">
      <c r="B50" s="288" t="s">
        <v>266</v>
      </c>
      <c r="C50" s="291" t="s">
        <v>268</v>
      </c>
      <c r="D50" s="288" t="s">
        <v>270</v>
      </c>
      <c r="E50" s="291" t="s">
        <v>272</v>
      </c>
      <c r="F50" s="76"/>
      <c r="G50" s="76"/>
      <c r="H50" s="76"/>
      <c r="I50" s="76"/>
      <c r="J50" s="76"/>
      <c r="K50" s="76"/>
      <c r="L50" s="76"/>
      <c r="M50" s="76"/>
      <c r="N50" s="76"/>
      <c r="O50" s="76"/>
      <c r="P50" s="76"/>
      <c r="Q50" s="76"/>
      <c r="R50" s="76"/>
    </row>
    <row r="51" spans="2:18" s="48" customFormat="1" x14ac:dyDescent="0.2">
      <c r="B51" s="288" t="s">
        <v>334</v>
      </c>
      <c r="C51" s="291" t="s">
        <v>330</v>
      </c>
      <c r="D51" s="288" t="s">
        <v>318</v>
      </c>
      <c r="E51" s="291" t="s">
        <v>329</v>
      </c>
      <c r="F51" s="76"/>
      <c r="G51" s="76"/>
      <c r="H51" s="76"/>
      <c r="I51" s="76"/>
      <c r="J51" s="76"/>
      <c r="K51" s="76"/>
      <c r="L51" s="76"/>
      <c r="M51" s="76"/>
      <c r="N51" s="76"/>
      <c r="O51" s="76"/>
      <c r="P51" s="76"/>
      <c r="Q51" s="76"/>
      <c r="R51" s="76"/>
    </row>
    <row r="52" spans="2:18" s="48" customFormat="1" x14ac:dyDescent="0.2">
      <c r="B52" s="288" t="s">
        <v>333</v>
      </c>
      <c r="C52" s="291" t="s">
        <v>332</v>
      </c>
      <c r="D52" s="288" t="s">
        <v>319</v>
      </c>
      <c r="E52" s="291" t="s">
        <v>331</v>
      </c>
      <c r="F52" s="76"/>
      <c r="G52" s="76"/>
      <c r="H52" s="76"/>
      <c r="I52" s="76"/>
      <c r="J52" s="76"/>
      <c r="K52" s="76"/>
      <c r="L52" s="76"/>
      <c r="M52" s="76"/>
      <c r="N52" s="76"/>
      <c r="O52" s="76"/>
      <c r="P52" s="76"/>
      <c r="Q52" s="76"/>
      <c r="R52" s="76"/>
    </row>
    <row r="53" spans="2:18" s="48" customFormat="1" x14ac:dyDescent="0.2">
      <c r="B53" s="288" t="s">
        <v>288</v>
      </c>
      <c r="C53" s="291" t="s">
        <v>297</v>
      </c>
      <c r="D53" s="288" t="s">
        <v>21</v>
      </c>
      <c r="E53" s="291" t="s">
        <v>312</v>
      </c>
      <c r="F53" s="76"/>
      <c r="G53" s="76"/>
      <c r="H53" s="76"/>
      <c r="I53" s="76"/>
      <c r="J53" s="76"/>
      <c r="K53" s="76"/>
      <c r="L53" s="76"/>
      <c r="M53" s="76"/>
      <c r="N53" s="76"/>
      <c r="O53" s="76"/>
      <c r="P53" s="76"/>
      <c r="Q53" s="76"/>
      <c r="R53" s="76"/>
    </row>
    <row r="54" spans="2:18" s="48" customFormat="1" x14ac:dyDescent="0.2">
      <c r="B54" s="288" t="s">
        <v>210</v>
      </c>
      <c r="C54" s="291" t="s">
        <v>301</v>
      </c>
      <c r="D54" s="288" t="s">
        <v>209</v>
      </c>
      <c r="E54" s="291" t="s">
        <v>310</v>
      </c>
      <c r="F54" s="76"/>
      <c r="G54" s="76"/>
      <c r="H54" s="76"/>
      <c r="I54" s="76"/>
      <c r="J54" s="76"/>
      <c r="K54" s="76"/>
      <c r="L54" s="76"/>
      <c r="M54" s="76"/>
      <c r="N54" s="76"/>
      <c r="O54" s="76"/>
      <c r="P54" s="76"/>
      <c r="Q54" s="76"/>
      <c r="R54" s="76"/>
    </row>
    <row r="55" spans="2:18" s="48" customFormat="1" ht="15" x14ac:dyDescent="0.25">
      <c r="B55" s="293" t="s">
        <v>116</v>
      </c>
      <c r="C55" s="43"/>
      <c r="D55" s="294" t="s">
        <v>23</v>
      </c>
      <c r="E55" s="44"/>
      <c r="F55" s="76"/>
      <c r="G55" s="76"/>
      <c r="H55" s="76"/>
      <c r="P55" s="76"/>
      <c r="Q55" s="76"/>
      <c r="R55" s="76"/>
    </row>
    <row r="56" spans="2:18" s="48" customFormat="1" ht="15" customHeight="1" x14ac:dyDescent="0.2">
      <c r="B56" s="288" t="s">
        <v>145</v>
      </c>
      <c r="C56" s="73" t="s">
        <v>241</v>
      </c>
      <c r="D56" s="288" t="s">
        <v>126</v>
      </c>
      <c r="E56" s="73" t="s">
        <v>242</v>
      </c>
      <c r="F56" s="76"/>
      <c r="G56" s="76"/>
      <c r="H56" s="76"/>
      <c r="Q56" s="76"/>
      <c r="R56" s="76"/>
    </row>
    <row r="57" spans="2:18" s="48" customFormat="1" x14ac:dyDescent="0.2">
      <c r="B57" s="288" t="s">
        <v>275</v>
      </c>
      <c r="C57" s="73" t="s">
        <v>276</v>
      </c>
      <c r="D57" s="288" t="s">
        <v>273</v>
      </c>
      <c r="E57" s="73" t="s">
        <v>274</v>
      </c>
      <c r="F57" s="76"/>
      <c r="G57" s="76"/>
      <c r="H57" s="76"/>
      <c r="Q57" s="76"/>
      <c r="R57" s="76"/>
    </row>
    <row r="58" spans="2:18" s="48" customFormat="1" x14ac:dyDescent="0.2">
      <c r="B58" s="288" t="s">
        <v>278</v>
      </c>
      <c r="C58" s="73" t="s">
        <v>277</v>
      </c>
      <c r="D58" s="288" t="s">
        <v>279</v>
      </c>
      <c r="E58" s="73" t="s">
        <v>280</v>
      </c>
      <c r="F58" s="76"/>
      <c r="G58" s="76"/>
      <c r="H58" s="76"/>
      <c r="Q58" s="76"/>
      <c r="R58" s="76"/>
    </row>
    <row r="59" spans="2:18" s="48" customFormat="1" x14ac:dyDescent="0.2">
      <c r="B59" s="261" t="s">
        <v>178</v>
      </c>
      <c r="C59" s="73" t="s">
        <v>260</v>
      </c>
      <c r="D59" s="262" t="s">
        <v>29</v>
      </c>
      <c r="E59" s="73" t="s">
        <v>259</v>
      </c>
      <c r="F59" s="76"/>
      <c r="G59" s="76"/>
      <c r="H59" s="76"/>
      <c r="Q59" s="76"/>
      <c r="R59" s="76"/>
    </row>
    <row r="60" spans="2:18" s="48" customFormat="1" x14ac:dyDescent="0.2">
      <c r="B60" s="288" t="s">
        <v>108</v>
      </c>
      <c r="C60" s="73" t="s">
        <v>109</v>
      </c>
      <c r="D60" s="288" t="s">
        <v>25</v>
      </c>
      <c r="E60" s="73" t="s">
        <v>113</v>
      </c>
      <c r="F60" s="268"/>
      <c r="G60" s="76"/>
      <c r="H60" s="76"/>
      <c r="Q60" s="76"/>
      <c r="R60" s="76"/>
    </row>
    <row r="61" spans="2:18" s="48" customFormat="1" x14ac:dyDescent="0.2">
      <c r="B61" s="288" t="s">
        <v>105</v>
      </c>
      <c r="C61" s="73" t="s">
        <v>106</v>
      </c>
      <c r="D61" s="288" t="s">
        <v>110</v>
      </c>
      <c r="E61" s="73" t="s">
        <v>111</v>
      </c>
      <c r="F61" s="268"/>
      <c r="G61" s="268"/>
      <c r="H61" s="268"/>
      <c r="Q61" s="268"/>
      <c r="R61" s="267"/>
    </row>
    <row r="62" spans="2:18" s="48" customFormat="1" x14ac:dyDescent="0.2">
      <c r="B62" s="288" t="s">
        <v>212</v>
      </c>
      <c r="C62" s="73" t="s">
        <v>107</v>
      </c>
      <c r="D62" s="288" t="s">
        <v>287</v>
      </c>
      <c r="E62" s="73" t="s">
        <v>112</v>
      </c>
      <c r="F62" s="268"/>
      <c r="G62" s="268"/>
      <c r="H62" s="268"/>
      <c r="Q62" s="268"/>
      <c r="R62" s="267"/>
    </row>
    <row r="63" spans="2:18" s="48" customFormat="1" x14ac:dyDescent="0.2">
      <c r="B63" s="288" t="s">
        <v>245</v>
      </c>
      <c r="C63" s="73" t="s">
        <v>246</v>
      </c>
      <c r="D63" s="288" t="s">
        <v>243</v>
      </c>
      <c r="E63" s="73" t="s">
        <v>244</v>
      </c>
      <c r="F63" s="75"/>
      <c r="G63" s="268"/>
      <c r="H63" s="268"/>
      <c r="Q63" s="268"/>
      <c r="R63" s="267"/>
    </row>
    <row r="64" spans="2:18" s="48" customFormat="1" ht="12.75" customHeight="1" x14ac:dyDescent="0.2">
      <c r="B64" s="288" t="s">
        <v>252</v>
      </c>
      <c r="C64" s="73" t="s">
        <v>249</v>
      </c>
      <c r="D64" s="288" t="s">
        <v>247</v>
      </c>
      <c r="E64" s="73" t="s">
        <v>248</v>
      </c>
      <c r="F64" s="76"/>
      <c r="G64" s="75"/>
      <c r="H64" s="75"/>
      <c r="Q64" s="75"/>
      <c r="R64" s="267"/>
    </row>
    <row r="65" spans="2:18" s="48" customFormat="1" ht="12.75" customHeight="1" x14ac:dyDescent="0.2">
      <c r="B65" s="288" t="s">
        <v>323</v>
      </c>
      <c r="C65" s="73" t="s">
        <v>322</v>
      </c>
      <c r="D65" s="288" t="s">
        <v>320</v>
      </c>
      <c r="E65" s="73" t="s">
        <v>321</v>
      </c>
      <c r="F65" s="76"/>
      <c r="G65" s="75"/>
      <c r="H65" s="75"/>
      <c r="Q65" s="75"/>
      <c r="R65" s="267"/>
    </row>
    <row r="66" spans="2:18" s="48" customFormat="1" ht="12.75" customHeight="1" x14ac:dyDescent="0.2">
      <c r="B66" s="261" t="s">
        <v>180</v>
      </c>
      <c r="C66" s="73" t="s">
        <v>262</v>
      </c>
      <c r="D66" s="264" t="s">
        <v>28</v>
      </c>
      <c r="E66" s="73" t="s">
        <v>257</v>
      </c>
      <c r="F66" s="76"/>
      <c r="G66" s="76"/>
      <c r="H66" s="76"/>
      <c r="Q66" s="76"/>
      <c r="R66" s="76"/>
    </row>
    <row r="67" spans="2:18" s="48" customFormat="1" x14ac:dyDescent="0.2">
      <c r="B67" s="261" t="s">
        <v>179</v>
      </c>
      <c r="C67" s="73" t="s">
        <v>261</v>
      </c>
      <c r="D67" s="262" t="s">
        <v>30</v>
      </c>
      <c r="E67" s="73" t="s">
        <v>258</v>
      </c>
      <c r="F67" s="76"/>
      <c r="G67" s="76"/>
      <c r="H67" s="76"/>
      <c r="Q67" s="76"/>
      <c r="R67" s="76"/>
    </row>
    <row r="68" spans="2:18" s="48" customFormat="1" x14ac:dyDescent="0.2">
      <c r="F68" s="76"/>
      <c r="G68" s="76"/>
      <c r="H68" s="76"/>
      <c r="I68" s="76"/>
      <c r="J68" s="76"/>
      <c r="K68" s="76"/>
      <c r="Q68" s="76"/>
      <c r="R68" s="76"/>
    </row>
    <row r="69" spans="2:18" x14ac:dyDescent="0.2">
      <c r="G69" s="77"/>
      <c r="H69" s="77"/>
      <c r="I69" s="77"/>
      <c r="J69" s="77"/>
      <c r="K69" s="77"/>
      <c r="L69" s="77"/>
      <c r="M69" s="77"/>
      <c r="N69" s="77"/>
      <c r="O69" s="77"/>
      <c r="P69" s="77"/>
      <c r="Q69" s="77"/>
      <c r="R69" s="77"/>
    </row>
    <row r="70" spans="2:18" x14ac:dyDescent="0.2">
      <c r="G70" s="77"/>
      <c r="H70" s="77"/>
      <c r="I70" s="77"/>
      <c r="J70" s="77"/>
      <c r="K70" s="77"/>
      <c r="L70" s="77"/>
      <c r="M70" s="77"/>
      <c r="N70" s="77"/>
      <c r="O70" s="77"/>
      <c r="P70" s="77"/>
      <c r="Q70" s="77"/>
      <c r="R70" s="77"/>
    </row>
    <row r="71" spans="2:18" ht="15" x14ac:dyDescent="0.25">
      <c r="G71" s="72"/>
      <c r="H71" s="72"/>
      <c r="I71" s="72"/>
      <c r="J71" s="72"/>
      <c r="K71" s="72"/>
      <c r="L71" s="72"/>
      <c r="M71" s="72"/>
      <c r="N71" s="72"/>
      <c r="O71" s="295"/>
      <c r="P71" s="295"/>
      <c r="Q71" s="295"/>
      <c r="R71" s="77"/>
    </row>
  </sheetData>
  <mergeCells count="5">
    <mergeCell ref="L4:M4"/>
    <mergeCell ref="B24:C24"/>
    <mergeCell ref="B6:C6"/>
    <mergeCell ref="B4:G4"/>
    <mergeCell ref="B1:E1"/>
  </mergeCells>
  <hyperlinks>
    <hyperlink ref="B2" location="Contents!A1" display="Contents!A1"/>
    <hyperlink ref="G2" location="Macroeconomics!A1" display="Macroeconomics!A1"/>
    <hyperlink ref="G3" location="Disclaimer!A1" display="Disclaimer!A1"/>
  </hyperlinks>
  <pageMargins left="0.7" right="0.7" top="0.75" bottom="0.75" header="0.3" footer="0.3"/>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C99"/>
  <sheetViews>
    <sheetView view="pageBreakPreview" zoomScaleNormal="70" zoomScaleSheetLayoutView="100" workbookViewId="0">
      <pane xSplit="4" ySplit="5" topLeftCell="E6" activePane="bottomRight" state="frozen"/>
      <selection pane="topRight" activeCell="E1" sqref="E1"/>
      <selection pane="bottomLeft" activeCell="A5" sqref="A5"/>
      <selection pane="bottomRight" activeCell="L30" sqref="L30"/>
    </sheetView>
  </sheetViews>
  <sheetFormatPr defaultColWidth="9.140625" defaultRowHeight="12.75" x14ac:dyDescent="0.2"/>
  <cols>
    <col min="1" max="1" width="2.42578125" style="2" customWidth="1"/>
    <col min="2" max="2" width="18" style="2" customWidth="1"/>
    <col min="3" max="4" width="15.5703125" style="2" customWidth="1"/>
    <col min="5" max="5" width="11" style="2" bestFit="1" customWidth="1"/>
    <col min="6" max="7" width="6" style="2" hidden="1" customWidth="1"/>
    <col min="8" max="8" width="6.42578125" style="2" hidden="1" customWidth="1"/>
    <col min="9" max="9" width="8.7109375" style="2" hidden="1" customWidth="1"/>
    <col min="10" max="10" width="6.42578125" style="2" hidden="1" customWidth="1"/>
    <col min="11" max="11" width="10.85546875" style="2" customWidth="1"/>
    <col min="12" max="13" width="10" style="2" customWidth="1"/>
    <col min="14" max="15" width="10.140625" style="2" customWidth="1"/>
    <col min="16" max="16" width="11.140625" style="2" customWidth="1"/>
    <col min="17" max="17" width="10.42578125" style="2" customWidth="1"/>
    <col min="18" max="18" width="11.5703125" style="2" customWidth="1"/>
    <col min="19" max="19" width="7.28515625" style="2" bestFit="1" customWidth="1"/>
    <col min="20" max="20" width="6.7109375" style="2" bestFit="1" customWidth="1"/>
    <col min="21" max="21" width="2.42578125" style="2" customWidth="1"/>
    <col min="22" max="16384" width="9.140625" style="2"/>
  </cols>
  <sheetData>
    <row r="1" spans="2:29" ht="58.5" customHeight="1" x14ac:dyDescent="0.2">
      <c r="B1" s="476"/>
      <c r="C1" s="476"/>
      <c r="D1" s="476"/>
      <c r="E1" s="476"/>
    </row>
    <row r="2" spans="2:29" ht="13.5" customHeight="1" x14ac:dyDescent="0.2">
      <c r="B2" s="473"/>
      <c r="C2" s="473"/>
      <c r="E2" s="381" t="str">
        <f>IF(Contents!$B$8="English","Contents","Содержание")</f>
        <v>Содержание</v>
      </c>
      <c r="F2" s="298"/>
      <c r="G2" s="86"/>
      <c r="H2" s="86"/>
      <c r="I2" s="86"/>
      <c r="J2" s="86"/>
      <c r="K2" s="86"/>
      <c r="L2" s="86"/>
      <c r="M2" s="473"/>
      <c r="N2" s="473"/>
      <c r="Q2" s="473" t="str">
        <f>IF(Contents!$B$8="English","Next","Вперед")</f>
        <v>Вперед</v>
      </c>
      <c r="R2" s="473"/>
    </row>
    <row r="3" spans="2:29" ht="13.5" customHeight="1" x14ac:dyDescent="0.2">
      <c r="B3" s="381"/>
      <c r="C3" s="381"/>
      <c r="E3" s="381"/>
      <c r="F3" s="378"/>
      <c r="G3" s="378"/>
      <c r="H3" s="378"/>
      <c r="I3" s="378"/>
      <c r="J3" s="378"/>
      <c r="K3" s="378"/>
      <c r="L3" s="378"/>
      <c r="M3" s="381"/>
      <c r="N3" s="381"/>
      <c r="Q3" s="473" t="str">
        <f>IF(Contents!$B$8="English","Back","Назад")</f>
        <v>Назад</v>
      </c>
      <c r="R3" s="473"/>
    </row>
    <row r="4" spans="2:29" ht="18.75" x14ac:dyDescent="0.3">
      <c r="E4" s="475" t="str">
        <f>IF(Contents!$B$8="English","Macroeconomics","Макроэкономические показатели")</f>
        <v>Макроэкономические показатели</v>
      </c>
      <c r="F4" s="475"/>
      <c r="G4" s="475"/>
      <c r="H4" s="475"/>
      <c r="I4" s="475"/>
      <c r="J4" s="475"/>
      <c r="K4" s="475"/>
      <c r="L4" s="475"/>
      <c r="M4" s="475"/>
      <c r="N4" s="475"/>
      <c r="O4" s="475"/>
      <c r="P4" s="475"/>
      <c r="Q4" s="475"/>
      <c r="R4" s="475"/>
      <c r="S4" s="186"/>
      <c r="T4" s="186"/>
      <c r="U4" s="186"/>
      <c r="V4" s="186"/>
      <c r="W4" s="186"/>
      <c r="X4" s="186"/>
      <c r="Y4" s="186"/>
      <c r="Z4" s="186"/>
      <c r="AA4" s="186"/>
      <c r="AB4" s="186"/>
      <c r="AC4" s="186"/>
    </row>
    <row r="5" spans="2:29" s="31" customFormat="1" x14ac:dyDescent="0.2">
      <c r="B5" s="37"/>
      <c r="C5" s="37"/>
      <c r="D5" s="37"/>
      <c r="E5" s="37"/>
    </row>
    <row r="6" spans="2:29" s="31" customFormat="1" x14ac:dyDescent="0.2">
      <c r="B6" s="478"/>
      <c r="C6" s="478"/>
      <c r="D6" s="478"/>
      <c r="E6" s="148" t="str">
        <f>IF(Contents!$B$8="English",E43,E25)</f>
        <v>Ед. изм.</v>
      </c>
      <c r="F6" s="148" t="str">
        <f>IF(Contents!$B$8="English",F43,F25)</f>
        <v>2013Ф</v>
      </c>
      <c r="G6" s="148" t="str">
        <f>IF(Contents!$B$8="English",G43,G25)</f>
        <v>2014Ф</v>
      </c>
      <c r="H6" s="148" t="str">
        <f>IF(Contents!$B$8="English",H43,H25)</f>
        <v>2015Ф</v>
      </c>
      <c r="I6" s="148" t="str">
        <f>IF(Contents!$B$8="English",I43,I25)</f>
        <v>2016Ф</v>
      </c>
      <c r="J6" s="148" t="str">
        <f>IF(Contents!$B$8="English",J43,J25)</f>
        <v>2017Ф</v>
      </c>
      <c r="K6" s="148" t="str">
        <f>IF(Contents!$B$8="English",K43,K25)</f>
        <v>2018Ф</v>
      </c>
      <c r="L6" s="148" t="str">
        <f>IF(Contents!$B$8="English",L43,L25)</f>
        <v>2019Ф</v>
      </c>
      <c r="M6" s="148" t="str">
        <f>IF(Contents!$B$8="English",M43,M25)</f>
        <v>2020Ф</v>
      </c>
      <c r="N6" s="148" t="str">
        <f>IF(Contents!$B$8="English",N43,N25)</f>
        <v>2021Ф</v>
      </c>
      <c r="O6" s="149" t="str">
        <f>IF(Contents!$B$8="English",O43,O25)</f>
        <v>2022Ф</v>
      </c>
      <c r="P6" s="148" t="str">
        <f>IF(Contents!$B$8="English",P43,P25)</f>
        <v>2023П</v>
      </c>
      <c r="Q6" s="148" t="str">
        <f>IF(Contents!$B$8="English",Q43,Q25)</f>
        <v>2024П</v>
      </c>
      <c r="R6" s="148" t="str">
        <f>IF(Contents!$B$8="English",R43,R25)</f>
        <v>2025П</v>
      </c>
    </row>
    <row r="7" spans="2:29" s="31" customFormat="1" x14ac:dyDescent="0.2">
      <c r="B7" s="479" t="str">
        <f>IF(Contents!$B$8="English",B44,B26)</f>
        <v>Общие показатели</v>
      </c>
      <c r="C7" s="479"/>
      <c r="D7" s="479"/>
      <c r="E7" s="35"/>
      <c r="O7" s="124"/>
    </row>
    <row r="8" spans="2:29" s="31" customFormat="1" x14ac:dyDescent="0.2">
      <c r="B8" s="480" t="str">
        <f>IF(Contents!$B$8="English",B45,B27)</f>
        <v>ВВП</v>
      </c>
      <c r="C8" s="480"/>
      <c r="D8" s="480"/>
      <c r="E8" s="35" t="str">
        <f>IF(Contents!$B$8="English",E45,E27)</f>
        <v>% г-к-г</v>
      </c>
      <c r="F8" s="46">
        <v>1.7853545009105716</v>
      </c>
      <c r="G8" s="46">
        <v>0.73860077330101603</v>
      </c>
      <c r="H8" s="46">
        <v>-2.3077068886385774</v>
      </c>
      <c r="I8" s="46">
        <v>0.32928065807926998</v>
      </c>
      <c r="J8" s="46">
        <v>1.6301857315654189</v>
      </c>
      <c r="K8" s="46">
        <v>2.8</v>
      </c>
      <c r="L8" s="392">
        <v>2.2000000000000002</v>
      </c>
      <c r="M8" s="392">
        <v>-2.7000000000000028</v>
      </c>
      <c r="N8" s="392">
        <v>5.6</v>
      </c>
      <c r="O8" s="454">
        <v>-2.1</v>
      </c>
      <c r="P8" s="392">
        <v>1.2</v>
      </c>
      <c r="Q8" s="392">
        <v>2</v>
      </c>
      <c r="R8" s="122">
        <v>2.6</v>
      </c>
    </row>
    <row r="9" spans="2:29" s="31" customFormat="1" x14ac:dyDescent="0.2">
      <c r="B9" s="480" t="str">
        <f>IF(Contents!$B$8="English",B46,B28)</f>
        <v>ИПЦ</v>
      </c>
      <c r="C9" s="480"/>
      <c r="D9" s="480"/>
      <c r="E9" s="35" t="str">
        <f>IF(Contents!$B$8="English",E46,E28)</f>
        <v>% г-к-г</v>
      </c>
      <c r="F9" s="46">
        <v>6.8</v>
      </c>
      <c r="G9" s="46">
        <v>7.8</v>
      </c>
      <c r="H9" s="46">
        <v>15.5</v>
      </c>
      <c r="I9" s="46">
        <v>7.1</v>
      </c>
      <c r="J9" s="46">
        <v>3.6800000000000068</v>
      </c>
      <c r="K9" s="46">
        <v>4.3</v>
      </c>
      <c r="L9" s="392">
        <v>3</v>
      </c>
      <c r="M9" s="392">
        <v>4.9000000000000057</v>
      </c>
      <c r="N9" s="392">
        <v>8.4</v>
      </c>
      <c r="O9" s="454">
        <v>13.8</v>
      </c>
      <c r="P9" s="392">
        <v>5.2</v>
      </c>
      <c r="Q9" s="392">
        <v>4.9000000000000004</v>
      </c>
      <c r="R9" s="122">
        <v>4</v>
      </c>
    </row>
    <row r="10" spans="2:29" s="31" customFormat="1" x14ac:dyDescent="0.2">
      <c r="B10" s="480" t="str">
        <f>IF(Contents!$B$8="English",B47,B29)</f>
        <v>ИПП</v>
      </c>
      <c r="C10" s="480"/>
      <c r="D10" s="480"/>
      <c r="E10" s="35" t="str">
        <f>IF(Contents!$B$8="English",E47,E29)</f>
        <v>% г-к-г</v>
      </c>
      <c r="F10" s="46">
        <v>0.40000000000000568</v>
      </c>
      <c r="G10" s="46">
        <v>2.5</v>
      </c>
      <c r="H10" s="46">
        <v>-0.79999999999999716</v>
      </c>
      <c r="I10" s="46">
        <v>2.2000000000000028</v>
      </c>
      <c r="J10" s="46">
        <v>2.0999999999999943</v>
      </c>
      <c r="K10" s="46">
        <v>3.5</v>
      </c>
      <c r="L10" s="392">
        <v>3.4</v>
      </c>
      <c r="M10" s="392">
        <v>-2.0999999999999943</v>
      </c>
      <c r="N10" s="392">
        <v>6.3</v>
      </c>
      <c r="O10" s="454">
        <v>-0.6</v>
      </c>
      <c r="P10" s="392">
        <v>0.2</v>
      </c>
      <c r="Q10" s="392">
        <v>2.5</v>
      </c>
      <c r="R10" s="122">
        <v>2.9</v>
      </c>
    </row>
    <row r="11" spans="2:29" s="31" customFormat="1" hidden="1" x14ac:dyDescent="0.2">
      <c r="B11" s="477" t="str">
        <f>IF(Contents!$B$8="English",B48,B30)</f>
        <v>Цены на электро-/теплоэнергию</v>
      </c>
      <c r="C11" s="477"/>
      <c r="D11" s="477"/>
      <c r="E11" s="35"/>
      <c r="F11" s="318"/>
      <c r="G11" s="391"/>
      <c r="H11" s="391"/>
      <c r="I11" s="391"/>
      <c r="J11" s="391"/>
      <c r="K11" s="391"/>
      <c r="L11" s="391"/>
      <c r="M11" s="47"/>
      <c r="N11" s="47"/>
      <c r="O11" s="47"/>
      <c r="P11" s="47"/>
      <c r="Q11" s="47"/>
    </row>
    <row r="12" spans="2:29" s="31" customFormat="1" hidden="1" x14ac:dyDescent="0.2">
      <c r="B12" s="42" t="str">
        <f>IF(Contents!$B$8="English",B51,B33)</f>
        <v>Регулируемые тарифы сетевых организаций</v>
      </c>
      <c r="C12" s="38"/>
      <c r="D12" s="38"/>
      <c r="E12" s="35"/>
      <c r="F12" s="46"/>
      <c r="G12" s="46"/>
      <c r="H12" s="46"/>
      <c r="I12" s="46"/>
      <c r="J12" s="46"/>
      <c r="K12" s="46"/>
      <c r="L12" s="47"/>
      <c r="M12" s="47"/>
      <c r="N12" s="47"/>
      <c r="O12" s="47"/>
      <c r="P12" s="47"/>
      <c r="Q12" s="47"/>
    </row>
    <row r="13" spans="2:29" s="31" customFormat="1" hidden="1" x14ac:dyDescent="0.2">
      <c r="B13" s="45" t="str">
        <f>IF(Contents!$B$8="English",B53,B35)</f>
        <v>Размер индексации</v>
      </c>
      <c r="C13" s="38"/>
      <c r="D13" s="38"/>
      <c r="E13" s="35" t="str">
        <f>IF(Contents!$B$8="English",E53,E35)</f>
        <v>%</v>
      </c>
      <c r="F13" s="46">
        <v>10</v>
      </c>
      <c r="G13" s="46" t="s">
        <v>15</v>
      </c>
      <c r="H13" s="46">
        <v>7.5</v>
      </c>
      <c r="I13" s="46" t="s">
        <v>131</v>
      </c>
      <c r="J13" s="46">
        <v>3</v>
      </c>
      <c r="K13" s="46">
        <v>3</v>
      </c>
      <c r="L13" s="168">
        <v>3</v>
      </c>
      <c r="M13" s="168">
        <v>3</v>
      </c>
      <c r="N13" s="168">
        <v>3</v>
      </c>
      <c r="O13" s="168">
        <v>3</v>
      </c>
      <c r="P13" s="168">
        <v>3</v>
      </c>
      <c r="Q13" s="168">
        <v>3</v>
      </c>
    </row>
    <row r="14" spans="2:29" s="31" customFormat="1" hidden="1" x14ac:dyDescent="0.2">
      <c r="B14" s="42" t="str">
        <f>IF(Contents!$B$8="English",B54,B36)</f>
        <v>Регулируемые тарифы на электроэнергию для населения*</v>
      </c>
      <c r="C14" s="38"/>
      <c r="D14" s="38"/>
      <c r="E14" s="35"/>
      <c r="F14" s="46"/>
      <c r="G14" s="46"/>
      <c r="H14" s="46"/>
      <c r="I14" s="46"/>
      <c r="J14" s="46"/>
      <c r="K14" s="46"/>
      <c r="L14" s="168"/>
      <c r="M14" s="168"/>
      <c r="N14" s="168"/>
      <c r="O14" s="168"/>
      <c r="P14" s="168"/>
      <c r="Q14" s="168"/>
    </row>
    <row r="15" spans="2:29" s="31" customFormat="1" hidden="1" x14ac:dyDescent="0.2">
      <c r="B15" s="45" t="str">
        <f>IF(Contents!$B$8="English",B56,B38)</f>
        <v>Размер индексации</v>
      </c>
      <c r="C15" s="38"/>
      <c r="D15" s="38"/>
      <c r="E15" s="35" t="str">
        <f>IF(Contents!$B$8="English",E56,E38)</f>
        <v>%</v>
      </c>
      <c r="F15" s="46">
        <v>12.8</v>
      </c>
      <c r="G15" s="46">
        <v>4.2</v>
      </c>
      <c r="H15" s="46">
        <v>8.5</v>
      </c>
      <c r="I15" s="46">
        <v>7.5</v>
      </c>
      <c r="J15" s="46">
        <v>5</v>
      </c>
      <c r="K15" s="46">
        <v>5</v>
      </c>
      <c r="L15" s="168">
        <v>3.3</v>
      </c>
      <c r="M15" s="168">
        <v>5</v>
      </c>
      <c r="N15" s="168">
        <v>5</v>
      </c>
      <c r="O15" s="168">
        <v>5</v>
      </c>
      <c r="P15" s="168">
        <v>5</v>
      </c>
      <c r="Q15" s="168">
        <v>5</v>
      </c>
    </row>
    <row r="16" spans="2:29" s="31" customFormat="1" x14ac:dyDescent="0.2">
      <c r="B16" s="42"/>
      <c r="C16" s="38"/>
      <c r="D16" s="38"/>
      <c r="E16" s="35"/>
      <c r="F16" s="35"/>
      <c r="G16" s="46"/>
      <c r="H16" s="46"/>
      <c r="I16" s="46"/>
      <c r="J16" s="46"/>
      <c r="K16" s="46"/>
      <c r="L16" s="46"/>
      <c r="M16" s="46"/>
      <c r="N16" s="46"/>
      <c r="O16" s="47"/>
      <c r="P16" s="47"/>
      <c r="Q16" s="47"/>
      <c r="R16" s="47"/>
      <c r="S16" s="47"/>
      <c r="T16" s="47"/>
    </row>
    <row r="17" spans="2:28" s="31" customFormat="1" x14ac:dyDescent="0.2">
      <c r="B17" s="45"/>
      <c r="C17" s="38"/>
      <c r="D17" s="38"/>
      <c r="E17" s="35"/>
      <c r="F17" s="35"/>
      <c r="G17" s="46"/>
      <c r="H17" s="46"/>
      <c r="I17" s="46"/>
      <c r="J17" s="46"/>
      <c r="K17" s="46"/>
      <c r="L17" s="46"/>
      <c r="M17" s="46"/>
      <c r="N17" s="46"/>
      <c r="O17" s="47"/>
      <c r="P17" s="47"/>
      <c r="Q17" s="47"/>
      <c r="R17" s="47"/>
      <c r="S17" s="47"/>
      <c r="T17" s="47"/>
    </row>
    <row r="18" spans="2:28" s="31" customFormat="1" x14ac:dyDescent="0.2">
      <c r="B18" s="208"/>
      <c r="C18" s="36"/>
      <c r="D18" s="36"/>
      <c r="E18" s="36"/>
      <c r="F18" s="36"/>
      <c r="G18" s="209"/>
      <c r="H18" s="209"/>
      <c r="I18" s="209"/>
      <c r="J18" s="209"/>
      <c r="K18" s="209"/>
      <c r="L18" s="209"/>
      <c r="M18" s="209"/>
      <c r="N18" s="209"/>
      <c r="O18" s="209"/>
      <c r="P18" s="209"/>
      <c r="Q18" s="209"/>
      <c r="R18" s="209"/>
      <c r="S18" s="209"/>
      <c r="T18" s="209"/>
    </row>
    <row r="19" spans="2:28" s="31" customFormat="1" x14ac:dyDescent="0.2"/>
    <row r="20" spans="2:28" x14ac:dyDescent="0.2">
      <c r="B20" s="2" t="str">
        <f>IF(Contents!$B$8="English",B62,B65)</f>
        <v>Источник: Министерство экономического развития РФ ;  Федеральная служба государственной статистики.</v>
      </c>
    </row>
    <row r="21" spans="2:28" hidden="1" x14ac:dyDescent="0.2">
      <c r="B21" s="2" t="str">
        <f>IF(Contents!$B$8="English",B73,B72)</f>
        <v>* С 1 января 2019 года тарифы для населения рассчитаны исходя из ставки НДС в 20%</v>
      </c>
    </row>
    <row r="24" spans="2:28" s="48" customFormat="1" x14ac:dyDescent="0.2">
      <c r="B24" s="283"/>
    </row>
    <row r="25" spans="2:28" s="48" customFormat="1" ht="17.25" x14ac:dyDescent="0.4">
      <c r="B25" s="54" t="s">
        <v>117</v>
      </c>
      <c r="C25" s="55"/>
      <c r="D25" s="55"/>
      <c r="E25" s="54" t="s">
        <v>23</v>
      </c>
      <c r="F25" s="367" t="s">
        <v>118</v>
      </c>
      <c r="G25" s="367" t="s">
        <v>119</v>
      </c>
      <c r="H25" s="367" t="s">
        <v>120</v>
      </c>
      <c r="I25" s="367" t="s">
        <v>121</v>
      </c>
      <c r="J25" s="367" t="s">
        <v>336</v>
      </c>
      <c r="K25" s="367" t="s">
        <v>337</v>
      </c>
      <c r="L25" s="367" t="s">
        <v>344</v>
      </c>
      <c r="M25" s="367" t="s">
        <v>369</v>
      </c>
      <c r="N25" s="367" t="s">
        <v>389</v>
      </c>
      <c r="O25" s="367" t="s">
        <v>453</v>
      </c>
      <c r="P25" s="367" t="s">
        <v>122</v>
      </c>
      <c r="Q25" s="367" t="s">
        <v>123</v>
      </c>
      <c r="R25" s="48" t="s">
        <v>451</v>
      </c>
      <c r="Y25" s="2"/>
      <c r="Z25" s="2"/>
      <c r="AA25" s="2"/>
      <c r="AB25" s="2"/>
    </row>
    <row r="26" spans="2:28" s="48" customFormat="1" ht="15" x14ac:dyDescent="0.25">
      <c r="B26" s="342" t="s">
        <v>124</v>
      </c>
      <c r="C26" s="342"/>
      <c r="D26" s="342"/>
      <c r="E26" s="56"/>
      <c r="F26" s="56"/>
      <c r="G26" s="56"/>
      <c r="H26" s="56"/>
      <c r="I26" s="56"/>
      <c r="J26" s="78"/>
      <c r="K26" s="78"/>
      <c r="L26" s="78"/>
      <c r="M26" s="78"/>
      <c r="N26" s="78"/>
      <c r="O26" s="78"/>
      <c r="P26" s="78"/>
      <c r="Q26" s="78"/>
      <c r="R26" s="78"/>
      <c r="Y26" s="2"/>
      <c r="Z26" s="2"/>
    </row>
    <row r="27" spans="2:28" s="48" customFormat="1" ht="15" x14ac:dyDescent="0.25">
      <c r="B27" s="57" t="s">
        <v>125</v>
      </c>
      <c r="C27" s="57"/>
      <c r="D27" s="57"/>
      <c r="E27" s="397" t="s">
        <v>126</v>
      </c>
      <c r="F27" s="79"/>
      <c r="G27" s="79"/>
      <c r="H27" s="80"/>
      <c r="I27" s="79"/>
      <c r="J27" s="79"/>
      <c r="K27" s="80"/>
      <c r="L27" s="80"/>
      <c r="M27" s="80"/>
      <c r="N27" s="80"/>
      <c r="O27" s="80"/>
      <c r="P27" s="80"/>
      <c r="Q27" s="80"/>
      <c r="R27" s="80"/>
      <c r="Y27" s="2"/>
    </row>
    <row r="28" spans="2:28" s="48" customFormat="1" ht="15" x14ac:dyDescent="0.25">
      <c r="B28" s="57" t="s">
        <v>294</v>
      </c>
      <c r="C28" s="57"/>
      <c r="D28" s="57"/>
      <c r="E28" s="397" t="s">
        <v>126</v>
      </c>
      <c r="F28" s="79"/>
      <c r="G28" s="80"/>
      <c r="H28" s="79"/>
      <c r="I28" s="79"/>
      <c r="J28" s="79"/>
      <c r="K28" s="80"/>
      <c r="L28" s="80"/>
      <c r="M28" s="80"/>
      <c r="N28" s="80"/>
      <c r="O28" s="80"/>
      <c r="P28" s="80"/>
      <c r="Q28" s="80"/>
      <c r="R28" s="80"/>
      <c r="Y28" s="2"/>
    </row>
    <row r="29" spans="2:28" s="48" customFormat="1" ht="15" x14ac:dyDescent="0.25">
      <c r="B29" s="57" t="s">
        <v>295</v>
      </c>
      <c r="C29" s="57"/>
      <c r="D29" s="57"/>
      <c r="E29" s="397" t="s">
        <v>126</v>
      </c>
      <c r="F29" s="79"/>
      <c r="G29" s="79"/>
      <c r="H29" s="79"/>
      <c r="I29" s="79"/>
      <c r="J29" s="79"/>
      <c r="K29" s="80"/>
      <c r="L29" s="80"/>
      <c r="M29" s="80"/>
      <c r="N29" s="80"/>
      <c r="O29" s="80"/>
      <c r="P29" s="80"/>
      <c r="Q29" s="80"/>
      <c r="R29" s="80"/>
      <c r="Y29" s="2"/>
    </row>
    <row r="30" spans="2:28" s="51" customFormat="1" ht="15" x14ac:dyDescent="0.25">
      <c r="B30" s="342" t="s">
        <v>127</v>
      </c>
      <c r="C30" s="342"/>
      <c r="D30" s="342"/>
      <c r="E30" s="398"/>
      <c r="F30" s="56"/>
      <c r="G30" s="56"/>
      <c r="H30" s="56"/>
      <c r="I30" s="56"/>
      <c r="J30" s="56"/>
      <c r="K30" s="78"/>
      <c r="L30" s="78"/>
      <c r="M30" s="78"/>
      <c r="N30" s="78"/>
      <c r="O30" s="78"/>
      <c r="P30" s="78"/>
      <c r="Q30" s="78"/>
      <c r="R30" s="78"/>
      <c r="Y30" s="31"/>
    </row>
    <row r="31" spans="2:28" s="48" customFormat="1" ht="15" x14ac:dyDescent="0.25">
      <c r="B31" s="57" t="s">
        <v>128</v>
      </c>
      <c r="C31" s="57"/>
      <c r="D31" s="57"/>
      <c r="E31" s="397" t="s">
        <v>126</v>
      </c>
      <c r="F31" s="81"/>
      <c r="G31" s="81"/>
      <c r="H31" s="82"/>
      <c r="I31" s="82"/>
      <c r="J31" s="82"/>
      <c r="K31" s="82"/>
      <c r="L31" s="82"/>
      <c r="M31" s="82"/>
      <c r="N31" s="82"/>
      <c r="O31" s="82"/>
      <c r="P31" s="82"/>
      <c r="Q31" s="82"/>
      <c r="R31" s="82"/>
      <c r="Y31" s="2"/>
    </row>
    <row r="32" spans="2:28" s="48" customFormat="1" ht="15" x14ac:dyDescent="0.25">
      <c r="B32" s="57" t="s">
        <v>129</v>
      </c>
      <c r="C32" s="57"/>
      <c r="D32" s="57"/>
      <c r="E32" s="397" t="s">
        <v>126</v>
      </c>
      <c r="F32" s="80"/>
      <c r="G32" s="80"/>
      <c r="H32" s="82"/>
      <c r="I32" s="82"/>
      <c r="J32" s="82"/>
      <c r="K32" s="82"/>
      <c r="L32" s="82"/>
      <c r="M32" s="82"/>
      <c r="N32" s="82"/>
      <c r="O32" s="82"/>
      <c r="P32" s="82"/>
      <c r="Q32" s="82"/>
      <c r="R32" s="82"/>
      <c r="Y32" s="2"/>
    </row>
    <row r="33" spans="2:26" s="48" customFormat="1" ht="15" x14ac:dyDescent="0.25">
      <c r="B33" s="57" t="s">
        <v>130</v>
      </c>
      <c r="C33" s="57"/>
      <c r="D33" s="57"/>
      <c r="E33" s="397" t="s">
        <v>126</v>
      </c>
      <c r="F33" s="80"/>
      <c r="G33" s="82"/>
      <c r="H33" s="82"/>
      <c r="I33" s="82"/>
      <c r="J33" s="82"/>
      <c r="K33" s="82"/>
      <c r="L33" s="81"/>
      <c r="M33" s="81"/>
      <c r="N33" s="81"/>
      <c r="O33" s="81"/>
      <c r="P33" s="81"/>
      <c r="Q33" s="81"/>
      <c r="R33" s="81"/>
      <c r="Y33" s="2"/>
    </row>
    <row r="34" spans="2:26" s="48" customFormat="1" ht="15" x14ac:dyDescent="0.25">
      <c r="B34" s="58" t="s">
        <v>132</v>
      </c>
      <c r="C34" s="58"/>
      <c r="D34" s="58"/>
      <c r="E34" s="397" t="s">
        <v>133</v>
      </c>
      <c r="F34" s="79"/>
      <c r="G34" s="79"/>
      <c r="H34" s="79"/>
      <c r="I34" s="79"/>
      <c r="J34" s="79"/>
      <c r="K34" s="79"/>
      <c r="L34" s="79"/>
      <c r="M34" s="79"/>
      <c r="N34" s="79"/>
      <c r="O34" s="79"/>
      <c r="P34" s="79"/>
      <c r="Q34" s="79"/>
      <c r="R34" s="79"/>
      <c r="Y34" s="2"/>
    </row>
    <row r="35" spans="2:26" s="48" customFormat="1" ht="15" x14ac:dyDescent="0.25">
      <c r="B35" s="58" t="s">
        <v>134</v>
      </c>
      <c r="C35" s="58"/>
      <c r="D35" s="58"/>
      <c r="E35" s="397" t="s">
        <v>67</v>
      </c>
      <c r="F35" s="80"/>
      <c r="G35" s="80"/>
      <c r="H35" s="83"/>
      <c r="I35" s="81"/>
      <c r="J35" s="81"/>
      <c r="K35" s="81"/>
      <c r="L35" s="81"/>
      <c r="M35" s="81"/>
      <c r="N35" s="81"/>
      <c r="O35" s="81"/>
      <c r="P35" s="81"/>
      <c r="Q35" s="81"/>
      <c r="R35" s="81"/>
      <c r="Y35" s="2"/>
    </row>
    <row r="36" spans="2:26" s="48" customFormat="1" ht="15" x14ac:dyDescent="0.25">
      <c r="B36" s="57" t="s">
        <v>381</v>
      </c>
      <c r="C36" s="57"/>
      <c r="D36" s="57"/>
      <c r="E36" s="397" t="s">
        <v>67</v>
      </c>
      <c r="F36" s="57"/>
      <c r="G36" s="57"/>
      <c r="H36" s="57"/>
      <c r="K36" s="80"/>
      <c r="L36" s="79"/>
      <c r="M36" s="80"/>
      <c r="N36" s="82"/>
      <c r="O36" s="82"/>
      <c r="P36" s="82"/>
      <c r="Q36" s="81"/>
      <c r="R36" s="82"/>
      <c r="S36" s="82"/>
      <c r="T36" s="371"/>
      <c r="U36" s="370"/>
      <c r="V36" s="370"/>
      <c r="W36" s="370"/>
      <c r="X36" s="370"/>
      <c r="Y36" s="2"/>
      <c r="Z36" s="2"/>
    </row>
    <row r="37" spans="2:26" s="48" customFormat="1" ht="15" x14ac:dyDescent="0.25">
      <c r="B37" s="58" t="s">
        <v>132</v>
      </c>
      <c r="C37" s="58"/>
      <c r="D37" s="58"/>
      <c r="E37" s="397" t="s">
        <v>133</v>
      </c>
      <c r="F37" s="58"/>
      <c r="G37" s="58"/>
      <c r="H37" s="58"/>
      <c r="K37" s="79"/>
      <c r="L37" s="79"/>
      <c r="M37" s="79"/>
      <c r="N37" s="79"/>
      <c r="O37" s="79"/>
      <c r="P37" s="79"/>
      <c r="Q37" s="79"/>
      <c r="R37" s="79"/>
      <c r="S37" s="79"/>
      <c r="T37" s="368"/>
      <c r="U37" s="368"/>
      <c r="V37" s="368"/>
      <c r="W37" s="368"/>
      <c r="X37" s="368"/>
      <c r="Y37" s="2"/>
      <c r="Z37" s="2"/>
    </row>
    <row r="38" spans="2:26" s="48" customFormat="1" ht="15" x14ac:dyDescent="0.25">
      <c r="B38" s="58" t="s">
        <v>134</v>
      </c>
      <c r="C38" s="58"/>
      <c r="D38" s="58"/>
      <c r="E38" s="397" t="s">
        <v>67</v>
      </c>
      <c r="F38" s="58"/>
      <c r="G38" s="58"/>
      <c r="H38" s="58"/>
      <c r="K38" s="59"/>
      <c r="L38" s="59"/>
      <c r="M38" s="80"/>
      <c r="N38" s="82"/>
      <c r="O38" s="82"/>
      <c r="P38" s="82"/>
      <c r="Q38" s="82"/>
      <c r="R38" s="81"/>
      <c r="S38" s="82"/>
      <c r="T38" s="370"/>
      <c r="U38" s="370"/>
      <c r="V38" s="370"/>
      <c r="W38" s="370"/>
      <c r="X38" s="370"/>
      <c r="Y38" s="2"/>
      <c r="Z38" s="2"/>
    </row>
    <row r="39" spans="2:26" s="48" customFormat="1" ht="15" x14ac:dyDescent="0.25">
      <c r="B39" s="57" t="s">
        <v>135</v>
      </c>
      <c r="C39" s="57"/>
      <c r="D39" s="57"/>
      <c r="E39" s="397" t="s">
        <v>67</v>
      </c>
      <c r="F39" s="57"/>
      <c r="G39" s="57"/>
      <c r="H39" s="57"/>
      <c r="K39" s="79"/>
      <c r="L39" s="79"/>
      <c r="M39" s="82"/>
      <c r="N39" s="82"/>
      <c r="O39" s="82"/>
      <c r="P39" s="82"/>
      <c r="Q39" s="82"/>
      <c r="R39" s="82"/>
      <c r="S39" s="82"/>
      <c r="T39" s="371"/>
      <c r="U39" s="371"/>
      <c r="V39" s="371"/>
      <c r="W39" s="371"/>
      <c r="X39" s="371"/>
      <c r="Y39" s="2"/>
      <c r="Z39" s="2"/>
    </row>
    <row r="40" spans="2:26" s="48" customFormat="1" ht="15" x14ac:dyDescent="0.25">
      <c r="B40" s="58" t="s">
        <v>132</v>
      </c>
      <c r="C40" s="58"/>
      <c r="D40" s="58"/>
      <c r="E40" s="397" t="s">
        <v>133</v>
      </c>
      <c r="F40" s="58"/>
      <c r="G40" s="58"/>
      <c r="H40" s="58"/>
      <c r="K40" s="79"/>
      <c r="L40" s="79"/>
      <c r="M40" s="82"/>
      <c r="N40" s="79"/>
      <c r="O40" s="79"/>
      <c r="P40" s="79"/>
      <c r="Q40" s="79"/>
      <c r="R40" s="79"/>
      <c r="S40" s="79"/>
      <c r="T40" s="368"/>
      <c r="U40" s="368"/>
      <c r="V40" s="368"/>
      <c r="W40" s="368"/>
      <c r="X40" s="368"/>
      <c r="Y40" s="2"/>
      <c r="Z40" s="2"/>
    </row>
    <row r="41" spans="2:26" s="48" customFormat="1" ht="15" x14ac:dyDescent="0.25">
      <c r="B41" s="58" t="s">
        <v>134</v>
      </c>
      <c r="C41" s="58"/>
      <c r="D41" s="58"/>
      <c r="E41" s="397" t="s">
        <v>67</v>
      </c>
      <c r="F41" s="58"/>
      <c r="G41" s="58"/>
      <c r="H41" s="58"/>
      <c r="K41" s="60"/>
      <c r="L41" s="60"/>
      <c r="M41" s="80"/>
      <c r="N41" s="80"/>
      <c r="O41" s="80"/>
      <c r="P41" s="80"/>
      <c r="Q41" s="80"/>
      <c r="R41" s="80"/>
      <c r="S41" s="80"/>
      <c r="T41" s="369"/>
      <c r="U41" s="369"/>
      <c r="V41" s="369"/>
      <c r="W41" s="369"/>
      <c r="X41" s="369"/>
      <c r="Y41" s="2"/>
      <c r="Z41" s="2"/>
    </row>
    <row r="42" spans="2:26" s="48" customFormat="1" x14ac:dyDescent="0.2">
      <c r="B42" s="49"/>
      <c r="C42" s="50"/>
      <c r="D42" s="50"/>
      <c r="E42" s="51"/>
      <c r="F42" s="51"/>
      <c r="G42" s="51"/>
      <c r="H42" s="51"/>
      <c r="K42" s="51"/>
      <c r="L42" s="51"/>
      <c r="M42" s="51"/>
      <c r="N42" s="51"/>
      <c r="O42" s="51"/>
      <c r="P42" s="51"/>
      <c r="Q42" s="51"/>
      <c r="R42" s="51"/>
      <c r="S42" s="51"/>
      <c r="T42" s="31"/>
      <c r="U42" s="31"/>
      <c r="V42" s="31"/>
      <c r="W42" s="31"/>
      <c r="X42" s="31"/>
      <c r="Y42" s="2"/>
      <c r="Z42" s="2"/>
    </row>
    <row r="43" spans="2:26" s="48" customFormat="1" ht="17.25" x14ac:dyDescent="0.4">
      <c r="B43" s="54" t="s">
        <v>136</v>
      </c>
      <c r="C43" s="55"/>
      <c r="D43" s="55"/>
      <c r="E43" s="399" t="s">
        <v>137</v>
      </c>
      <c r="F43" s="367" t="s">
        <v>138</v>
      </c>
      <c r="G43" s="367" t="s">
        <v>139</v>
      </c>
      <c r="H43" s="367" t="s">
        <v>140</v>
      </c>
      <c r="I43" s="367" t="s">
        <v>338</v>
      </c>
      <c r="J43" s="367" t="s">
        <v>339</v>
      </c>
      <c r="K43" s="367" t="s">
        <v>340</v>
      </c>
      <c r="L43" s="367" t="s">
        <v>367</v>
      </c>
      <c r="M43" s="367" t="s">
        <v>368</v>
      </c>
      <c r="N43" s="367" t="s">
        <v>390</v>
      </c>
      <c r="O43" s="367" t="s">
        <v>454</v>
      </c>
      <c r="P43" s="367" t="s">
        <v>141</v>
      </c>
      <c r="Q43" s="367" t="s">
        <v>142</v>
      </c>
      <c r="R43" s="48" t="s">
        <v>455</v>
      </c>
      <c r="Y43" s="2"/>
      <c r="Z43" s="2"/>
    </row>
    <row r="44" spans="2:26" s="48" customFormat="1" ht="15" x14ac:dyDescent="0.25">
      <c r="B44" s="342" t="s">
        <v>143</v>
      </c>
      <c r="C44" s="342"/>
      <c r="D44" s="342"/>
      <c r="E44" s="56"/>
      <c r="F44" s="366"/>
      <c r="G44" s="366"/>
      <c r="H44" s="366"/>
      <c r="K44" s="56"/>
      <c r="L44" s="56"/>
      <c r="M44" s="56"/>
      <c r="N44" s="56"/>
      <c r="O44" s="56"/>
      <c r="P44" s="56"/>
      <c r="Q44" s="78"/>
      <c r="R44" s="78"/>
      <c r="S44" s="78"/>
      <c r="T44" s="359"/>
      <c r="U44" s="359"/>
      <c r="V44" s="359"/>
      <c r="W44" s="359"/>
      <c r="X44" s="359"/>
      <c r="Y44" s="2"/>
      <c r="Z44" s="2"/>
    </row>
    <row r="45" spans="2:26" s="48" customFormat="1" ht="15" x14ac:dyDescent="0.25">
      <c r="B45" s="57" t="s">
        <v>144</v>
      </c>
      <c r="C45" s="57"/>
      <c r="D45" s="57"/>
      <c r="E45" s="397" t="s">
        <v>145</v>
      </c>
      <c r="F45" s="57"/>
      <c r="G45" s="57"/>
      <c r="H45" s="57"/>
      <c r="K45" s="79"/>
      <c r="L45" s="79"/>
      <c r="M45" s="79"/>
      <c r="N45" s="79"/>
      <c r="O45" s="80"/>
      <c r="P45" s="79"/>
      <c r="Q45" s="79"/>
      <c r="R45" s="80"/>
      <c r="S45" s="80"/>
      <c r="T45" s="369"/>
      <c r="U45" s="369"/>
      <c r="V45" s="369"/>
      <c r="W45" s="369"/>
      <c r="X45" s="369"/>
      <c r="Y45" s="2"/>
      <c r="Z45" s="2"/>
    </row>
    <row r="46" spans="2:26" s="48" customFormat="1" ht="15" x14ac:dyDescent="0.25">
      <c r="B46" s="57" t="s">
        <v>146</v>
      </c>
      <c r="C46" s="57"/>
      <c r="D46" s="57"/>
      <c r="E46" s="397" t="s">
        <v>145</v>
      </c>
      <c r="F46" s="57"/>
      <c r="G46" s="57"/>
      <c r="H46" s="57"/>
      <c r="K46" s="79"/>
      <c r="L46" s="79"/>
      <c r="M46" s="79"/>
      <c r="N46" s="80"/>
      <c r="O46" s="79"/>
      <c r="P46" s="79"/>
      <c r="Q46" s="79"/>
      <c r="R46" s="80"/>
      <c r="S46" s="80"/>
      <c r="T46" s="369"/>
      <c r="U46" s="369"/>
      <c r="V46" s="369"/>
      <c r="W46" s="369"/>
      <c r="X46" s="369"/>
      <c r="Y46" s="2"/>
      <c r="Z46" s="2"/>
    </row>
    <row r="47" spans="2:26" s="48" customFormat="1" ht="15" x14ac:dyDescent="0.25">
      <c r="B47" s="57" t="s">
        <v>296</v>
      </c>
      <c r="C47" s="57"/>
      <c r="D47" s="57"/>
      <c r="E47" s="397" t="s">
        <v>145</v>
      </c>
      <c r="F47" s="57"/>
      <c r="G47" s="57"/>
      <c r="H47" s="57"/>
      <c r="K47" s="79"/>
      <c r="L47" s="80"/>
      <c r="M47" s="79"/>
      <c r="N47" s="79"/>
      <c r="O47" s="79"/>
      <c r="P47" s="79"/>
      <c r="Q47" s="79"/>
      <c r="R47" s="80"/>
      <c r="S47" s="80"/>
      <c r="T47" s="369"/>
      <c r="U47" s="369"/>
      <c r="V47" s="369"/>
      <c r="W47" s="369"/>
      <c r="X47" s="369"/>
      <c r="Y47" s="2"/>
      <c r="Z47" s="2"/>
    </row>
    <row r="48" spans="2:26" s="48" customFormat="1" ht="15" x14ac:dyDescent="0.25">
      <c r="B48" s="342" t="s">
        <v>147</v>
      </c>
      <c r="C48" s="342"/>
      <c r="D48" s="342"/>
      <c r="E48" s="398"/>
      <c r="F48" s="366"/>
      <c r="G48" s="366"/>
      <c r="H48" s="366"/>
      <c r="K48" s="56"/>
      <c r="L48" s="56"/>
      <c r="M48" s="56"/>
      <c r="N48" s="56"/>
      <c r="O48" s="56"/>
      <c r="P48" s="56"/>
      <c r="Q48" s="56"/>
      <c r="R48" s="78"/>
      <c r="S48" s="78"/>
      <c r="T48" s="359"/>
      <c r="U48" s="359"/>
      <c r="V48" s="359"/>
      <c r="W48" s="359"/>
      <c r="X48" s="359"/>
      <c r="Y48" s="2"/>
      <c r="Z48" s="2"/>
    </row>
    <row r="49" spans="1:26" s="48" customFormat="1" ht="15" x14ac:dyDescent="0.25">
      <c r="B49" s="57" t="s">
        <v>148</v>
      </c>
      <c r="C49" s="57"/>
      <c r="D49" s="57"/>
      <c r="E49" s="397" t="s">
        <v>145</v>
      </c>
      <c r="F49" s="57"/>
      <c r="G49" s="57"/>
      <c r="H49" s="57"/>
      <c r="K49" s="79"/>
      <c r="L49" s="79"/>
      <c r="M49" s="81"/>
      <c r="N49" s="81"/>
      <c r="O49" s="82"/>
      <c r="P49" s="82"/>
      <c r="Q49" s="82"/>
      <c r="R49" s="82"/>
      <c r="S49" s="82"/>
      <c r="T49" s="371"/>
      <c r="U49" s="371"/>
      <c r="V49" s="371"/>
      <c r="W49" s="371"/>
      <c r="X49" s="371"/>
      <c r="Y49" s="2"/>
      <c r="Z49" s="2"/>
    </row>
    <row r="50" spans="1:26" s="48" customFormat="1" ht="15" x14ac:dyDescent="0.25">
      <c r="B50" s="57" t="s">
        <v>149</v>
      </c>
      <c r="C50" s="57"/>
      <c r="D50" s="57"/>
      <c r="E50" s="397" t="s">
        <v>145</v>
      </c>
      <c r="F50" s="57"/>
      <c r="G50" s="57"/>
      <c r="H50" s="57"/>
      <c r="K50" s="79"/>
      <c r="L50" s="79"/>
      <c r="M50" s="80"/>
      <c r="N50" s="80"/>
      <c r="O50" s="82"/>
      <c r="P50" s="82"/>
      <c r="Q50" s="82"/>
      <c r="R50" s="82"/>
      <c r="S50" s="82"/>
      <c r="T50" s="371"/>
      <c r="U50" s="371"/>
      <c r="V50" s="371"/>
      <c r="W50" s="371"/>
      <c r="X50" s="371"/>
      <c r="Y50" s="2"/>
      <c r="Z50" s="2"/>
    </row>
    <row r="51" spans="1:26" s="48" customFormat="1" ht="15" x14ac:dyDescent="0.25">
      <c r="B51" s="57" t="s">
        <v>150</v>
      </c>
      <c r="C51" s="57"/>
      <c r="D51" s="57"/>
      <c r="E51" s="397" t="s">
        <v>145</v>
      </c>
      <c r="F51" s="57"/>
      <c r="G51" s="57"/>
      <c r="H51" s="57"/>
      <c r="K51" s="79"/>
      <c r="L51" s="80"/>
      <c r="M51" s="80"/>
      <c r="N51" s="82"/>
      <c r="O51" s="82"/>
      <c r="P51" s="82"/>
      <c r="Q51" s="82"/>
      <c r="R51" s="82"/>
      <c r="S51" s="81"/>
      <c r="T51" s="370"/>
      <c r="U51" s="370"/>
      <c r="V51" s="370"/>
      <c r="W51" s="370"/>
      <c r="X51" s="370"/>
      <c r="Y51" s="2"/>
      <c r="Z51" s="2"/>
    </row>
    <row r="52" spans="1:26" s="48" customFormat="1" ht="15" x14ac:dyDescent="0.25">
      <c r="B52" s="58" t="s">
        <v>151</v>
      </c>
      <c r="C52" s="58"/>
      <c r="D52" s="58"/>
      <c r="E52" s="397" t="s">
        <v>152</v>
      </c>
      <c r="F52" s="58"/>
      <c r="G52" s="58"/>
      <c r="H52" s="58"/>
      <c r="K52" s="79"/>
      <c r="L52" s="79"/>
      <c r="M52" s="79"/>
      <c r="N52" s="79"/>
      <c r="O52" s="79"/>
      <c r="P52" s="79"/>
      <c r="Q52" s="79"/>
      <c r="R52" s="79"/>
      <c r="S52" s="79"/>
      <c r="T52" s="368"/>
      <c r="U52" s="368"/>
      <c r="V52" s="368"/>
      <c r="W52" s="368"/>
      <c r="X52" s="368"/>
      <c r="Y52" s="2"/>
      <c r="Z52" s="2"/>
    </row>
    <row r="53" spans="1:26" s="48" customFormat="1" ht="15" x14ac:dyDescent="0.25">
      <c r="B53" s="58" t="s">
        <v>153</v>
      </c>
      <c r="C53" s="58"/>
      <c r="D53" s="58"/>
      <c r="E53" s="397" t="s">
        <v>67</v>
      </c>
      <c r="F53" s="58"/>
      <c r="G53" s="58"/>
      <c r="H53" s="58"/>
      <c r="K53" s="59"/>
      <c r="L53" s="59"/>
      <c r="M53" s="80"/>
      <c r="N53" s="80"/>
      <c r="O53" s="83"/>
      <c r="P53" s="81"/>
      <c r="Q53" s="81"/>
      <c r="R53" s="81"/>
      <c r="S53" s="81"/>
      <c r="T53" s="370"/>
      <c r="U53" s="370"/>
      <c r="V53" s="370"/>
      <c r="W53" s="370"/>
      <c r="X53" s="370"/>
      <c r="Y53" s="2"/>
      <c r="Z53" s="2"/>
    </row>
    <row r="54" spans="1:26" s="48" customFormat="1" ht="15" x14ac:dyDescent="0.25">
      <c r="B54" s="57" t="s">
        <v>382</v>
      </c>
      <c r="C54" s="57"/>
      <c r="D54" s="57"/>
      <c r="E54" s="397" t="s">
        <v>67</v>
      </c>
      <c r="F54" s="57"/>
      <c r="G54" s="57"/>
      <c r="H54" s="57"/>
      <c r="K54" s="80"/>
      <c r="L54" s="79"/>
      <c r="M54" s="80"/>
      <c r="N54" s="82"/>
      <c r="O54" s="82"/>
      <c r="P54" s="82"/>
      <c r="Q54" s="81"/>
      <c r="R54" s="82"/>
      <c r="S54" s="82"/>
      <c r="T54" s="371"/>
      <c r="U54" s="370"/>
      <c r="V54" s="370"/>
      <c r="W54" s="370"/>
      <c r="X54" s="370"/>
      <c r="Y54" s="2"/>
      <c r="Z54" s="2"/>
    </row>
    <row r="55" spans="1:26" s="48" customFormat="1" ht="15" x14ac:dyDescent="0.25">
      <c r="B55" s="58" t="s">
        <v>151</v>
      </c>
      <c r="C55" s="58"/>
      <c r="D55" s="58"/>
      <c r="E55" s="397" t="s">
        <v>152</v>
      </c>
      <c r="F55" s="58"/>
      <c r="G55" s="58"/>
      <c r="H55" s="58"/>
      <c r="K55" s="79"/>
      <c r="L55" s="79"/>
      <c r="M55" s="79"/>
      <c r="N55" s="79"/>
      <c r="O55" s="79"/>
      <c r="P55" s="79"/>
      <c r="Q55" s="79"/>
      <c r="R55" s="79"/>
      <c r="S55" s="79"/>
      <c r="T55" s="368"/>
      <c r="U55" s="368"/>
      <c r="V55" s="368"/>
      <c r="W55" s="368"/>
      <c r="X55" s="368"/>
      <c r="Y55" s="2"/>
      <c r="Z55" s="2"/>
    </row>
    <row r="56" spans="1:26" s="48" customFormat="1" ht="15" x14ac:dyDescent="0.25">
      <c r="B56" s="58" t="s">
        <v>153</v>
      </c>
      <c r="C56" s="58"/>
      <c r="D56" s="58"/>
      <c r="E56" s="397" t="s">
        <v>67</v>
      </c>
      <c r="F56" s="58"/>
      <c r="G56" s="58"/>
      <c r="H56" s="58"/>
      <c r="K56" s="59"/>
      <c r="L56" s="59"/>
      <c r="M56" s="80"/>
      <c r="N56" s="82"/>
      <c r="O56" s="82"/>
      <c r="P56" s="82"/>
      <c r="Q56" s="82"/>
      <c r="R56" s="81"/>
      <c r="S56" s="82"/>
      <c r="T56" s="370"/>
      <c r="U56" s="370"/>
      <c r="V56" s="370"/>
      <c r="W56" s="370"/>
      <c r="X56" s="370"/>
      <c r="Y56" s="2"/>
      <c r="Z56" s="2"/>
    </row>
    <row r="57" spans="1:26" s="48" customFormat="1" ht="15" x14ac:dyDescent="0.25">
      <c r="B57" s="57" t="s">
        <v>154</v>
      </c>
      <c r="C57" s="57"/>
      <c r="D57" s="57"/>
      <c r="E57" s="397" t="s">
        <v>67</v>
      </c>
      <c r="F57" s="57"/>
      <c r="G57" s="57"/>
      <c r="H57" s="57"/>
      <c r="K57" s="79"/>
      <c r="L57" s="79"/>
      <c r="M57" s="82"/>
      <c r="N57" s="82"/>
      <c r="O57" s="82"/>
      <c r="P57" s="82"/>
      <c r="Q57" s="82"/>
      <c r="R57" s="82"/>
      <c r="S57" s="82"/>
      <c r="T57" s="371"/>
      <c r="U57" s="371"/>
      <c r="V57" s="371"/>
      <c r="W57" s="371"/>
      <c r="X57" s="371"/>
      <c r="Y57" s="2"/>
      <c r="Z57" s="2"/>
    </row>
    <row r="58" spans="1:26" s="48" customFormat="1" ht="15" x14ac:dyDescent="0.25">
      <c r="B58" s="58" t="s">
        <v>151</v>
      </c>
      <c r="C58" s="58"/>
      <c r="D58" s="58"/>
      <c r="E58" s="397" t="s">
        <v>152</v>
      </c>
      <c r="F58" s="58"/>
      <c r="G58" s="58"/>
      <c r="H58" s="58"/>
      <c r="K58" s="79"/>
      <c r="L58" s="79"/>
      <c r="M58" s="82"/>
      <c r="N58" s="79"/>
      <c r="O58" s="79"/>
      <c r="P58" s="79"/>
      <c r="Q58" s="79"/>
      <c r="R58" s="79"/>
      <c r="S58" s="79"/>
      <c r="T58" s="368"/>
      <c r="U58" s="368"/>
      <c r="V58" s="368"/>
      <c r="W58" s="368"/>
      <c r="X58" s="368"/>
      <c r="Y58" s="2"/>
      <c r="Z58" s="2"/>
    </row>
    <row r="59" spans="1:26" s="48" customFormat="1" ht="15" x14ac:dyDescent="0.25">
      <c r="B59" s="58" t="s">
        <v>153</v>
      </c>
      <c r="C59" s="58"/>
      <c r="D59" s="58"/>
      <c r="E59" s="397" t="s">
        <v>67</v>
      </c>
      <c r="F59" s="58"/>
      <c r="G59" s="58"/>
      <c r="H59" s="58"/>
      <c r="K59" s="60"/>
      <c r="L59" s="60"/>
      <c r="M59" s="80"/>
      <c r="N59" s="80"/>
      <c r="O59" s="80"/>
      <c r="P59" s="80"/>
      <c r="Q59" s="80"/>
      <c r="R59" s="80"/>
      <c r="S59" s="80"/>
      <c r="T59" s="369"/>
      <c r="U59" s="369"/>
      <c r="V59" s="369"/>
      <c r="W59" s="369"/>
      <c r="X59" s="369"/>
      <c r="Y59" s="2"/>
      <c r="Z59" s="2"/>
    </row>
    <row r="60" spans="1:26" s="48" customFormat="1" x14ac:dyDescent="0.2">
      <c r="T60" s="2"/>
      <c r="U60" s="2"/>
      <c r="V60" s="2"/>
      <c r="W60" s="2"/>
      <c r="X60" s="2"/>
      <c r="Y60" s="2"/>
      <c r="Z60" s="2"/>
    </row>
    <row r="61" spans="1:26" s="48" customFormat="1" x14ac:dyDescent="0.2">
      <c r="T61" s="2"/>
      <c r="U61" s="2"/>
      <c r="V61" s="2"/>
      <c r="W61" s="2"/>
      <c r="X61" s="2"/>
      <c r="Y61" s="2"/>
      <c r="Z61" s="2"/>
    </row>
    <row r="62" spans="1:26" s="48" customFormat="1" x14ac:dyDescent="0.2">
      <c r="A62" s="2"/>
      <c r="B62" s="52" t="s">
        <v>342</v>
      </c>
      <c r="C62" s="52"/>
      <c r="D62" s="52"/>
      <c r="E62" s="52"/>
      <c r="F62" s="52"/>
      <c r="G62" s="52"/>
      <c r="H62" s="52"/>
      <c r="T62" s="2"/>
      <c r="U62" s="2"/>
      <c r="V62" s="2"/>
      <c r="W62" s="2"/>
      <c r="X62" s="2"/>
      <c r="Y62" s="2"/>
      <c r="Z62" s="2"/>
    </row>
    <row r="63" spans="1:26" s="48" customFormat="1" ht="12.75" customHeight="1" x14ac:dyDescent="0.2">
      <c r="A63" s="2"/>
      <c r="B63" s="53" t="s">
        <v>155</v>
      </c>
      <c r="C63" s="53"/>
      <c r="D63" s="53"/>
      <c r="E63" s="53"/>
      <c r="F63" s="53"/>
      <c r="G63" s="53"/>
      <c r="H63" s="53"/>
      <c r="I63" s="53"/>
      <c r="T63" s="2"/>
      <c r="U63" s="2"/>
      <c r="V63" s="2"/>
      <c r="W63" s="2"/>
      <c r="X63" s="2"/>
      <c r="Y63" s="2"/>
      <c r="Z63" s="2"/>
    </row>
    <row r="64" spans="1:26" s="48" customFormat="1" ht="12.75" customHeight="1" x14ac:dyDescent="0.2">
      <c r="A64" s="2"/>
      <c r="B64" s="53" t="s">
        <v>156</v>
      </c>
      <c r="C64" s="53"/>
      <c r="D64" s="53"/>
      <c r="E64" s="53"/>
      <c r="F64" s="53"/>
      <c r="G64" s="53"/>
      <c r="H64" s="53"/>
      <c r="I64" s="53"/>
      <c r="T64" s="2"/>
      <c r="U64" s="2"/>
      <c r="V64" s="2"/>
      <c r="W64" s="2"/>
      <c r="X64" s="2"/>
      <c r="Y64" s="2"/>
      <c r="Z64" s="2"/>
    </row>
    <row r="65" spans="1:26" s="48" customFormat="1" x14ac:dyDescent="0.2">
      <c r="A65" s="2"/>
      <c r="B65" s="52" t="s">
        <v>341</v>
      </c>
      <c r="C65" s="52"/>
      <c r="D65" s="52"/>
      <c r="E65" s="52"/>
      <c r="F65" s="52"/>
      <c r="G65" s="52"/>
      <c r="H65" s="52"/>
      <c r="I65" s="52"/>
      <c r="T65" s="2"/>
      <c r="U65" s="2"/>
      <c r="V65" s="2"/>
      <c r="W65" s="2"/>
      <c r="X65" s="2"/>
      <c r="Y65" s="2"/>
      <c r="Z65" s="2"/>
    </row>
    <row r="66" spans="1:26" s="48" customFormat="1" ht="12.75" customHeight="1" x14ac:dyDescent="0.2">
      <c r="A66" s="2"/>
      <c r="B66" s="53" t="s">
        <v>157</v>
      </c>
      <c r="C66" s="53"/>
      <c r="D66" s="53"/>
      <c r="E66" s="53"/>
      <c r="F66" s="53"/>
      <c r="G66" s="53"/>
      <c r="H66" s="53"/>
      <c r="I66" s="53"/>
      <c r="T66" s="2"/>
      <c r="U66" s="2"/>
      <c r="V66" s="2"/>
      <c r="W66" s="2"/>
      <c r="X66" s="2"/>
      <c r="Y66" s="2"/>
      <c r="Z66" s="2"/>
    </row>
    <row r="67" spans="1:26" s="48" customFormat="1" ht="12.75" customHeight="1" x14ac:dyDescent="0.2">
      <c r="A67" s="2"/>
      <c r="B67" s="53" t="s">
        <v>158</v>
      </c>
      <c r="C67" s="53"/>
      <c r="D67" s="53"/>
      <c r="E67" s="53"/>
      <c r="F67" s="53"/>
      <c r="G67" s="53"/>
      <c r="H67" s="53"/>
      <c r="I67" s="53"/>
      <c r="T67" s="2"/>
      <c r="U67" s="2"/>
      <c r="V67" s="2"/>
      <c r="W67" s="2"/>
      <c r="X67" s="2"/>
      <c r="Y67" s="2"/>
      <c r="Z67" s="2"/>
    </row>
    <row r="68" spans="1:26" s="48" customFormat="1" x14ac:dyDescent="0.2">
      <c r="A68" s="2"/>
      <c r="B68" s="53"/>
      <c r="C68" s="53"/>
      <c r="D68" s="53"/>
      <c r="E68" s="53"/>
      <c r="F68" s="53"/>
      <c r="G68" s="53"/>
      <c r="H68" s="53"/>
      <c r="I68" s="53"/>
      <c r="T68" s="2"/>
      <c r="U68" s="2"/>
      <c r="V68" s="2"/>
      <c r="W68" s="2"/>
      <c r="X68" s="2"/>
      <c r="Y68" s="2"/>
      <c r="Z68" s="2"/>
    </row>
    <row r="69" spans="1:26" s="48" customFormat="1" x14ac:dyDescent="0.2">
      <c r="T69" s="2"/>
      <c r="U69" s="2"/>
      <c r="V69" s="2"/>
      <c r="W69" s="2"/>
      <c r="X69" s="2"/>
      <c r="Y69" s="2"/>
      <c r="Z69" s="2"/>
    </row>
    <row r="70" spans="1:26" x14ac:dyDescent="0.2">
      <c r="B70" s="48"/>
      <c r="C70" s="48"/>
      <c r="D70" s="48"/>
      <c r="E70" s="48"/>
      <c r="F70" s="48"/>
      <c r="G70" s="48"/>
      <c r="H70" s="48"/>
      <c r="I70" s="48"/>
      <c r="J70" s="48"/>
      <c r="K70" s="48"/>
      <c r="L70" s="48"/>
      <c r="M70" s="48"/>
      <c r="N70" s="48"/>
      <c r="O70" s="48"/>
      <c r="P70" s="48"/>
      <c r="Q70" s="48"/>
      <c r="R70" s="48"/>
      <c r="S70" s="48"/>
    </row>
    <row r="71" spans="1:26" x14ac:dyDescent="0.2">
      <c r="B71" s="48"/>
      <c r="C71" s="48"/>
      <c r="D71" s="48"/>
      <c r="E71" s="48"/>
      <c r="F71" s="48"/>
      <c r="G71" s="48"/>
      <c r="H71" s="48"/>
      <c r="I71" s="48"/>
      <c r="J71" s="48"/>
      <c r="K71" s="48"/>
      <c r="L71" s="48"/>
      <c r="M71" s="48"/>
      <c r="N71" s="48"/>
      <c r="O71" s="48"/>
      <c r="P71" s="48"/>
      <c r="Q71" s="48"/>
      <c r="R71" s="48"/>
      <c r="S71" s="48"/>
    </row>
    <row r="72" spans="1:26" x14ac:dyDescent="0.2">
      <c r="B72" s="52" t="s">
        <v>383</v>
      </c>
      <c r="C72" s="48"/>
      <c r="D72" s="48"/>
    </row>
    <row r="73" spans="1:26" x14ac:dyDescent="0.2">
      <c r="B73" s="52" t="s">
        <v>384</v>
      </c>
      <c r="C73" s="48"/>
      <c r="D73" s="48"/>
    </row>
    <row r="74" spans="1:26" x14ac:dyDescent="0.2">
      <c r="B74" s="48"/>
      <c r="C74" s="48"/>
      <c r="D74" s="48"/>
    </row>
    <row r="75" spans="1:26" x14ac:dyDescent="0.2">
      <c r="B75" s="48"/>
      <c r="C75" s="48"/>
      <c r="D75" s="48"/>
    </row>
    <row r="76" spans="1:26" x14ac:dyDescent="0.2">
      <c r="B76" s="48"/>
      <c r="C76" s="48"/>
      <c r="D76" s="48"/>
    </row>
    <row r="77" spans="1:26" x14ac:dyDescent="0.2">
      <c r="B77" s="48"/>
      <c r="C77" s="48"/>
      <c r="D77" s="48"/>
    </row>
    <row r="78" spans="1:26" x14ac:dyDescent="0.2">
      <c r="B78" s="48"/>
      <c r="C78" s="48"/>
      <c r="D78" s="48"/>
    </row>
    <row r="79" spans="1:26" x14ac:dyDescent="0.2">
      <c r="B79" s="48"/>
      <c r="C79" s="48"/>
      <c r="D79" s="48"/>
    </row>
    <row r="80" spans="1:26" x14ac:dyDescent="0.2">
      <c r="B80" s="48"/>
      <c r="C80" s="48"/>
      <c r="D80" s="48"/>
    </row>
    <row r="81" spans="2:12" x14ac:dyDescent="0.2">
      <c r="B81" s="48"/>
      <c r="C81" s="48"/>
      <c r="D81" s="48"/>
    </row>
    <row r="82" spans="2:12" x14ac:dyDescent="0.2">
      <c r="B82" s="48"/>
      <c r="C82" s="48"/>
      <c r="D82" s="48"/>
    </row>
    <row r="83" spans="2:12" x14ac:dyDescent="0.2">
      <c r="B83" s="48"/>
      <c r="C83" s="48"/>
      <c r="D83" s="48"/>
      <c r="E83" s="48"/>
      <c r="F83" s="48"/>
      <c r="G83" s="48"/>
      <c r="H83" s="48"/>
      <c r="I83" s="48"/>
    </row>
    <row r="84" spans="2:12" x14ac:dyDescent="0.2">
      <c r="B84" s="48"/>
      <c r="C84" s="48"/>
      <c r="D84" s="48"/>
      <c r="E84" s="48"/>
      <c r="F84" s="48"/>
      <c r="G84" s="48"/>
      <c r="H84" s="48"/>
      <c r="I84" s="48"/>
    </row>
    <row r="85" spans="2:12" x14ac:dyDescent="0.2">
      <c r="B85" s="48"/>
      <c r="C85" s="48"/>
      <c r="D85" s="48"/>
      <c r="E85" s="48"/>
      <c r="F85" s="48"/>
      <c r="G85" s="48"/>
      <c r="H85" s="48"/>
      <c r="I85" s="48"/>
      <c r="J85" s="48"/>
      <c r="K85" s="48"/>
      <c r="L85" s="48"/>
    </row>
    <row r="86" spans="2:12" x14ac:dyDescent="0.2">
      <c r="B86" s="48"/>
      <c r="C86" s="48"/>
      <c r="D86" s="48"/>
      <c r="E86" s="48"/>
      <c r="F86" s="48"/>
      <c r="G86" s="48"/>
      <c r="H86" s="48"/>
      <c r="I86" s="48"/>
      <c r="J86" s="48"/>
      <c r="K86" s="48"/>
      <c r="L86" s="48"/>
    </row>
    <row r="87" spans="2:12" x14ac:dyDescent="0.2">
      <c r="B87" s="48"/>
      <c r="C87" s="48"/>
      <c r="D87" s="48"/>
      <c r="E87" s="48"/>
      <c r="F87" s="48"/>
      <c r="G87" s="48"/>
      <c r="H87" s="48"/>
      <c r="I87" s="48"/>
      <c r="J87" s="48"/>
      <c r="K87" s="48"/>
      <c r="L87" s="48"/>
    </row>
    <row r="88" spans="2:12" x14ac:dyDescent="0.2">
      <c r="B88" s="48"/>
      <c r="C88" s="48"/>
      <c r="D88" s="48"/>
      <c r="E88" s="48"/>
      <c r="F88" s="48"/>
      <c r="G88" s="48"/>
      <c r="H88" s="48"/>
      <c r="I88" s="48"/>
      <c r="J88" s="48"/>
      <c r="K88" s="48"/>
      <c r="L88" s="48"/>
    </row>
    <row r="89" spans="2:12" x14ac:dyDescent="0.2">
      <c r="B89" s="48"/>
      <c r="C89" s="48"/>
      <c r="D89" s="48"/>
      <c r="E89" s="48"/>
      <c r="F89" s="48"/>
      <c r="G89" s="48"/>
      <c r="H89" s="48"/>
      <c r="I89" s="48"/>
      <c r="J89" s="48"/>
      <c r="K89" s="48"/>
      <c r="L89" s="48"/>
    </row>
    <row r="90" spans="2:12" x14ac:dyDescent="0.2">
      <c r="B90" s="48"/>
      <c r="C90" s="48"/>
      <c r="D90" s="48"/>
      <c r="E90" s="48"/>
      <c r="F90" s="48"/>
      <c r="G90" s="48"/>
      <c r="H90" s="48"/>
      <c r="I90" s="48"/>
      <c r="J90" s="48"/>
      <c r="K90" s="48"/>
      <c r="L90" s="48"/>
    </row>
    <row r="91" spans="2:12" x14ac:dyDescent="0.2">
      <c r="B91" s="48"/>
      <c r="C91" s="48"/>
      <c r="D91" s="48"/>
      <c r="E91" s="48"/>
      <c r="F91" s="48"/>
      <c r="G91" s="48"/>
      <c r="H91" s="48"/>
      <c r="I91" s="48"/>
      <c r="J91" s="48"/>
      <c r="K91" s="48"/>
      <c r="L91" s="48"/>
    </row>
    <row r="92" spans="2:12" x14ac:dyDescent="0.2">
      <c r="B92" s="48"/>
      <c r="C92" s="48"/>
      <c r="D92" s="48"/>
      <c r="E92" s="48"/>
      <c r="F92" s="48"/>
      <c r="G92" s="48"/>
      <c r="H92" s="48"/>
      <c r="I92" s="48"/>
      <c r="J92" s="48"/>
      <c r="K92" s="48"/>
      <c r="L92" s="48"/>
    </row>
    <row r="93" spans="2:12" x14ac:dyDescent="0.2">
      <c r="B93" s="48"/>
      <c r="C93" s="48"/>
      <c r="D93" s="48"/>
      <c r="E93" s="48"/>
      <c r="F93" s="48"/>
      <c r="G93" s="48"/>
      <c r="H93" s="48"/>
      <c r="I93" s="48"/>
      <c r="J93" s="48"/>
      <c r="K93" s="48"/>
      <c r="L93" s="48"/>
    </row>
    <row r="94" spans="2:12" x14ac:dyDescent="0.2">
      <c r="B94" s="48"/>
      <c r="C94" s="48"/>
      <c r="D94" s="48"/>
      <c r="E94" s="48"/>
      <c r="F94" s="48"/>
      <c r="G94" s="48"/>
      <c r="H94" s="48"/>
      <c r="I94" s="48"/>
      <c r="J94" s="48"/>
      <c r="K94" s="48"/>
      <c r="L94" s="48"/>
    </row>
    <row r="95" spans="2:12" x14ac:dyDescent="0.2">
      <c r="B95" s="48"/>
      <c r="C95" s="48"/>
      <c r="D95" s="48"/>
      <c r="E95" s="48"/>
      <c r="F95" s="48"/>
      <c r="G95" s="48"/>
      <c r="H95" s="48"/>
      <c r="I95" s="48"/>
      <c r="J95" s="48"/>
      <c r="K95" s="48"/>
      <c r="L95" s="48"/>
    </row>
    <row r="96" spans="2:12" x14ac:dyDescent="0.2">
      <c r="B96" s="48"/>
      <c r="C96" s="48"/>
      <c r="D96" s="48"/>
      <c r="E96" s="48"/>
      <c r="F96" s="48"/>
      <c r="G96" s="48"/>
      <c r="H96" s="48"/>
      <c r="I96" s="48"/>
      <c r="J96" s="48"/>
      <c r="K96" s="48"/>
      <c r="L96" s="48"/>
    </row>
    <row r="97" spans="2:12" x14ac:dyDescent="0.2">
      <c r="B97" s="48"/>
      <c r="C97" s="48"/>
      <c r="D97" s="48"/>
      <c r="E97" s="48"/>
      <c r="F97" s="48"/>
      <c r="G97" s="48"/>
      <c r="H97" s="48"/>
      <c r="I97" s="48"/>
      <c r="J97" s="48"/>
      <c r="K97" s="48"/>
      <c r="L97" s="48"/>
    </row>
    <row r="98" spans="2:12" x14ac:dyDescent="0.2">
      <c r="B98" s="48"/>
      <c r="C98" s="48"/>
      <c r="D98" s="48"/>
      <c r="E98" s="48"/>
      <c r="F98" s="48"/>
      <c r="G98" s="48"/>
      <c r="H98" s="48"/>
      <c r="I98" s="48"/>
      <c r="J98" s="48"/>
      <c r="K98" s="48"/>
      <c r="L98" s="48"/>
    </row>
    <row r="99" spans="2:12" x14ac:dyDescent="0.2">
      <c r="B99" s="48"/>
      <c r="C99" s="48"/>
      <c r="D99" s="48"/>
      <c r="E99" s="48"/>
      <c r="F99" s="48"/>
      <c r="G99" s="48"/>
      <c r="H99" s="48"/>
      <c r="I99" s="48"/>
      <c r="J99" s="48"/>
      <c r="K99" s="48"/>
      <c r="L99" s="48"/>
    </row>
  </sheetData>
  <mergeCells count="12">
    <mergeCell ref="B1:E1"/>
    <mergeCell ref="B2:C2"/>
    <mergeCell ref="M2:N2"/>
    <mergeCell ref="B11:D11"/>
    <mergeCell ref="B6:D6"/>
    <mergeCell ref="B7:D7"/>
    <mergeCell ref="B8:D8"/>
    <mergeCell ref="B9:D9"/>
    <mergeCell ref="B10:D10"/>
    <mergeCell ref="E4:R4"/>
    <mergeCell ref="Q3:R3"/>
    <mergeCell ref="Q2:R2"/>
  </mergeCells>
  <hyperlinks>
    <hyperlink ref="Q2" location="'Shareholder capital'!A1" display="'Shareholder capital'!A1"/>
    <hyperlink ref="E2" location="Contents!A1" display="Contents!A1"/>
    <hyperlink ref="Q3:R3" location="Definitions!A1" display="Definitions!A1"/>
  </hyperlinks>
  <pageMargins left="0.7" right="0.7" top="0.75" bottom="0.75" header="0.3" footer="0.3"/>
  <pageSetup paperSize="9" scale="9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6" tint="0.39997558519241921"/>
    <pageSetUpPr fitToPage="1"/>
  </sheetPr>
  <dimension ref="B1:O67"/>
  <sheetViews>
    <sheetView view="pageBreakPreview" zoomScaleNormal="70" zoomScaleSheetLayoutView="100" workbookViewId="0">
      <pane xSplit="2" ySplit="1" topLeftCell="C2" activePane="bottomRight" state="frozen"/>
      <selection pane="topRight" activeCell="C1" sqref="C1"/>
      <selection pane="bottomLeft" activeCell="A2" sqref="A2"/>
      <selection pane="bottomRight" activeCell="B12" sqref="B12"/>
    </sheetView>
  </sheetViews>
  <sheetFormatPr defaultColWidth="9.140625" defaultRowHeight="12.75" x14ac:dyDescent="0.2"/>
  <cols>
    <col min="1" max="1" width="2.42578125" style="2" customWidth="1"/>
    <col min="2" max="2" width="17.42578125" style="2" customWidth="1"/>
    <col min="3" max="12" width="15.5703125" style="2" customWidth="1"/>
    <col min="13" max="13" width="15.28515625" style="2" customWidth="1"/>
    <col min="14" max="16384" width="9.140625" style="2"/>
  </cols>
  <sheetData>
    <row r="1" spans="2:15" ht="58.5" customHeight="1" x14ac:dyDescent="0.2">
      <c r="B1" s="396"/>
    </row>
    <row r="2" spans="2:15" ht="12.75" customHeight="1" x14ac:dyDescent="0.2">
      <c r="C2" s="384" t="str">
        <f>IF(Contents!$B$8="English","Contents","Содержание")</f>
        <v>Содержание</v>
      </c>
      <c r="D2" s="281"/>
      <c r="E2" s="281"/>
      <c r="F2" s="281"/>
      <c r="G2" s="281"/>
      <c r="H2" s="281"/>
      <c r="K2" s="325"/>
      <c r="M2" s="381" t="str">
        <f>IF(Contents!$B$8="English","Next","Вперед")</f>
        <v>Вперед</v>
      </c>
      <c r="O2" s="281"/>
    </row>
    <row r="3" spans="2:15" ht="12.75" customHeight="1" x14ac:dyDescent="0.2">
      <c r="C3" s="384"/>
      <c r="D3" s="378"/>
      <c r="E3" s="378"/>
      <c r="F3" s="378"/>
      <c r="G3" s="378"/>
      <c r="H3" s="378"/>
      <c r="K3" s="378"/>
      <c r="M3" s="381" t="str">
        <f>IF(Contents!$B$8="English","Back","Назад")</f>
        <v>Назад</v>
      </c>
      <c r="O3" s="378"/>
    </row>
    <row r="4" spans="2:15" ht="18.75" x14ac:dyDescent="0.3">
      <c r="D4" s="482" t="str">
        <f>IF(Contents!$B$8="English","Shareholder capital*","Уставный капитал*")</f>
        <v>Уставный капитал*</v>
      </c>
      <c r="E4" s="482"/>
      <c r="F4" s="482"/>
      <c r="G4" s="482"/>
      <c r="H4" s="482"/>
      <c r="I4" s="482"/>
      <c r="J4" s="482"/>
      <c r="K4" s="482"/>
      <c r="L4" s="482"/>
      <c r="M4" s="62"/>
      <c r="N4" s="471"/>
      <c r="O4" s="471"/>
    </row>
    <row r="5" spans="2:15" s="31" customFormat="1" ht="18.75" x14ac:dyDescent="0.3">
      <c r="B5" s="186"/>
      <c r="D5" s="186"/>
      <c r="E5" s="186"/>
      <c r="F5" s="186"/>
      <c r="G5" s="186"/>
      <c r="H5" s="186"/>
      <c r="I5" s="186"/>
      <c r="J5" s="186"/>
    </row>
    <row r="6" spans="2:15" s="31" customFormat="1" x14ac:dyDescent="0.2">
      <c r="B6" s="382" t="str">
        <f>IF(Contents!$B$8="English","RUB","руб.")</f>
        <v>руб.</v>
      </c>
      <c r="C6" s="148">
        <v>2012</v>
      </c>
      <c r="D6" s="148">
        <v>2013</v>
      </c>
      <c r="E6" s="148">
        <v>2014</v>
      </c>
      <c r="F6" s="148">
        <v>2015</v>
      </c>
      <c r="G6" s="148">
        <v>2016</v>
      </c>
      <c r="H6" s="148">
        <v>2017</v>
      </c>
      <c r="I6" s="148">
        <v>2018</v>
      </c>
      <c r="J6" s="148">
        <v>2019</v>
      </c>
      <c r="K6" s="148">
        <v>2020</v>
      </c>
      <c r="L6" s="148">
        <v>2021</v>
      </c>
      <c r="M6" s="149">
        <v>2022</v>
      </c>
    </row>
    <row r="7" spans="2:15" s="31" customFormat="1" ht="25.5" x14ac:dyDescent="0.2">
      <c r="B7" s="95" t="str">
        <f>IF(Contents!$B$8="English",C49,B49)</f>
        <v>Акции обыкновенные</v>
      </c>
      <c r="C7" s="38">
        <v>1135061313.0799999</v>
      </c>
      <c r="D7" s="38">
        <v>1135061313.0799999</v>
      </c>
      <c r="E7" s="38">
        <v>1658814839.05</v>
      </c>
      <c r="F7" s="38">
        <v>1658814839.05</v>
      </c>
      <c r="G7" s="38">
        <v>1658814839.05</v>
      </c>
      <c r="H7" s="38">
        <v>8617049631.0499992</v>
      </c>
      <c r="I7" s="38">
        <v>8617049631.0499992</v>
      </c>
      <c r="J7" s="38">
        <v>8617049631.0499992</v>
      </c>
      <c r="K7" s="374">
        <v>8617049631.0499992</v>
      </c>
      <c r="L7" s="374">
        <v>8617049631.0499992</v>
      </c>
      <c r="M7" s="375">
        <v>8617049631.0499992</v>
      </c>
    </row>
    <row r="8" spans="2:15" s="31" customFormat="1" ht="27" customHeight="1" x14ac:dyDescent="0.2">
      <c r="B8" s="95" t="str">
        <f>IF(Contents!$B$8="English",C50,B50)</f>
        <v>Акции привилегированные</v>
      </c>
      <c r="C8" s="38">
        <v>93264311</v>
      </c>
      <c r="D8" s="38">
        <v>93264311</v>
      </c>
      <c r="E8" s="38">
        <v>93264311</v>
      </c>
      <c r="F8" s="38">
        <v>93264311</v>
      </c>
      <c r="G8" s="38">
        <v>93264311</v>
      </c>
      <c r="H8" s="38">
        <v>93264311</v>
      </c>
      <c r="I8" s="38">
        <v>93264311</v>
      </c>
      <c r="J8" s="38">
        <v>93264311</v>
      </c>
      <c r="K8" s="38">
        <v>93264311</v>
      </c>
      <c r="L8" s="374">
        <v>93264311</v>
      </c>
      <c r="M8" s="375">
        <v>93264311</v>
      </c>
    </row>
    <row r="9" spans="2:15" s="31" customFormat="1" ht="13.5" thickBot="1" x14ac:dyDescent="0.25">
      <c r="B9" s="210" t="str">
        <f>IF(Contents!$B$8="English","Total",B51)</f>
        <v>ИТОГО</v>
      </c>
      <c r="C9" s="39">
        <f t="shared" ref="C9:H9" si="0">SUM(C7:C8)</f>
        <v>1228325624.0799999</v>
      </c>
      <c r="D9" s="39">
        <f t="shared" si="0"/>
        <v>1228325624.0799999</v>
      </c>
      <c r="E9" s="39">
        <f t="shared" si="0"/>
        <v>1752079150.05</v>
      </c>
      <c r="F9" s="39">
        <f t="shared" si="0"/>
        <v>1752079150.05</v>
      </c>
      <c r="G9" s="39">
        <f t="shared" si="0"/>
        <v>1752079150.05</v>
      </c>
      <c r="H9" s="39">
        <f t="shared" si="0"/>
        <v>8710313942.0499992</v>
      </c>
      <c r="I9" s="39">
        <v>8710313942.0499992</v>
      </c>
      <c r="J9" s="39">
        <v>8710313942.0499992</v>
      </c>
      <c r="K9" s="39">
        <v>8710313942.0499992</v>
      </c>
      <c r="L9" s="39">
        <v>8710313942.0499992</v>
      </c>
      <c r="M9" s="344">
        <v>8710313942.0499992</v>
      </c>
    </row>
    <row r="10" spans="2:15" s="31" customFormat="1" ht="15.75" customHeight="1" x14ac:dyDescent="0.2">
      <c r="B10" s="481" t="str">
        <f>IF(Contents!$B$8="English",B66,B65)</f>
        <v>Справочно: Казначейские акции</v>
      </c>
      <c r="C10" s="481"/>
      <c r="D10" s="481"/>
      <c r="E10" s="481"/>
      <c r="F10" s="481"/>
      <c r="G10" s="481"/>
      <c r="H10" s="481"/>
      <c r="I10" s="481"/>
      <c r="J10" s="481"/>
      <c r="K10" s="481"/>
      <c r="L10" s="481"/>
    </row>
    <row r="11" spans="2:15" s="31" customFormat="1" ht="25.5" customHeight="1" x14ac:dyDescent="0.2">
      <c r="B11" s="327" t="str">
        <f>IF(Contents!$B$8="English",C49,B49)</f>
        <v>Акции обыкновенные</v>
      </c>
      <c r="K11" s="92" t="s">
        <v>346</v>
      </c>
      <c r="L11" s="92" t="s">
        <v>386</v>
      </c>
    </row>
    <row r="12" spans="2:15" s="31" customFormat="1" ht="25.5" customHeight="1" x14ac:dyDescent="0.2">
      <c r="B12" s="328" t="str">
        <f>IF(Contents!$B$8="English",C50,B50)</f>
        <v>Акции привилегированные</v>
      </c>
      <c r="C12" s="179"/>
      <c r="D12" s="179"/>
      <c r="E12" s="179"/>
      <c r="F12" s="179"/>
      <c r="G12" s="179"/>
      <c r="H12" s="179"/>
      <c r="I12" s="179"/>
      <c r="J12" s="179"/>
      <c r="K12" s="115">
        <v>210</v>
      </c>
      <c r="L12" s="115" t="s">
        <v>387</v>
      </c>
      <c r="M12" s="115"/>
    </row>
    <row r="13" spans="2:15" x14ac:dyDescent="0.2">
      <c r="B13" s="2" t="str">
        <f>IF(Contents!$B$8="English",C53,B53)</f>
        <v>Номинальная стоимость каждой обыкновенной и привилегированной акции -1 рубль.</v>
      </c>
    </row>
    <row r="14" spans="2:15" x14ac:dyDescent="0.2">
      <c r="B14" s="2" t="str">
        <f>IF(Contents!$B$8="English",C54,B54)</f>
        <v>* Информация представлена на 31 декабря каждого года</v>
      </c>
    </row>
    <row r="15" spans="2:15" x14ac:dyDescent="0.2">
      <c r="B15" s="2" t="str">
        <f>IF(Contents!$B$8="English",C55,B55)</f>
        <v>** Казначейские акции были реализованы 21.06.2021 в пользу ООО "Энерготранс"</v>
      </c>
    </row>
    <row r="17" spans="2:2" x14ac:dyDescent="0.2">
      <c r="B17" s="87" t="str">
        <f>IF(Contents!$B$8="English",C57,B57)</f>
        <v xml:space="preserve">Структура акционерного капитала, % от УК </v>
      </c>
    </row>
    <row r="40" spans="2:11" x14ac:dyDescent="0.2">
      <c r="B40" s="87"/>
      <c r="C40" s="87"/>
      <c r="D40" s="87"/>
      <c r="E40" s="87"/>
      <c r="F40" s="87"/>
      <c r="G40" s="87"/>
      <c r="H40" s="87"/>
      <c r="I40" s="87"/>
      <c r="J40" s="87"/>
      <c r="K40" s="326"/>
    </row>
    <row r="42" spans="2:11" x14ac:dyDescent="0.2">
      <c r="B42" s="87"/>
      <c r="C42" s="87"/>
      <c r="D42" s="87"/>
      <c r="E42" s="87"/>
      <c r="F42" s="87"/>
      <c r="G42" s="87"/>
      <c r="H42" s="87"/>
      <c r="I42" s="87"/>
      <c r="J42" s="87"/>
      <c r="K42" s="326"/>
    </row>
    <row r="45" spans="2:11" x14ac:dyDescent="0.2">
      <c r="B45" s="48"/>
    </row>
    <row r="48" spans="2:11" s="31" customFormat="1" x14ac:dyDescent="0.2">
      <c r="B48" s="283"/>
      <c r="C48" s="51"/>
      <c r="D48" s="51"/>
      <c r="E48" s="51"/>
      <c r="F48" s="51"/>
      <c r="G48" s="51"/>
      <c r="H48" s="51"/>
      <c r="I48" s="51"/>
      <c r="J48" s="51"/>
      <c r="K48" s="51"/>
    </row>
    <row r="49" spans="2:11" x14ac:dyDescent="0.2">
      <c r="B49" s="283" t="s">
        <v>38</v>
      </c>
      <c r="C49" s="365" t="s">
        <v>162</v>
      </c>
      <c r="D49" s="48"/>
      <c r="E49" s="48"/>
    </row>
    <row r="50" spans="2:11" x14ac:dyDescent="0.2">
      <c r="B50" s="283" t="s">
        <v>39</v>
      </c>
      <c r="C50" s="48" t="s">
        <v>168</v>
      </c>
      <c r="D50" s="48"/>
      <c r="E50" s="48"/>
      <c r="F50" s="48"/>
      <c r="G50" s="48"/>
      <c r="H50" s="48"/>
      <c r="I50" s="48"/>
      <c r="J50" s="48"/>
      <c r="K50" s="48"/>
    </row>
    <row r="51" spans="2:11" x14ac:dyDescent="0.2">
      <c r="B51" s="283" t="s">
        <v>22</v>
      </c>
      <c r="C51" s="48"/>
      <c r="D51" s="48"/>
      <c r="E51" s="48"/>
      <c r="F51" s="48"/>
      <c r="G51" s="48"/>
      <c r="H51" s="48"/>
      <c r="I51" s="48"/>
      <c r="J51" s="48"/>
      <c r="K51" s="48"/>
    </row>
    <row r="52" spans="2:11" x14ac:dyDescent="0.2">
      <c r="B52" s="283"/>
      <c r="C52" s="48"/>
      <c r="D52" s="48"/>
      <c r="E52" s="48"/>
      <c r="F52" s="48"/>
      <c r="G52" s="48"/>
      <c r="H52" s="48"/>
      <c r="I52" s="48"/>
      <c r="J52" s="48"/>
      <c r="K52" s="48"/>
    </row>
    <row r="53" spans="2:11" x14ac:dyDescent="0.2">
      <c r="B53" s="283" t="s">
        <v>56</v>
      </c>
      <c r="C53" s="48" t="s">
        <v>462</v>
      </c>
      <c r="D53" s="48"/>
      <c r="E53" s="48"/>
      <c r="F53" s="48"/>
      <c r="G53" s="48"/>
      <c r="H53" s="48"/>
      <c r="I53" s="48"/>
      <c r="J53" s="48"/>
      <c r="K53" s="48"/>
    </row>
    <row r="54" spans="2:11" x14ac:dyDescent="0.2">
      <c r="B54" s="283" t="s">
        <v>55</v>
      </c>
      <c r="C54" s="48" t="s">
        <v>463</v>
      </c>
      <c r="D54" s="48"/>
      <c r="E54" s="48"/>
      <c r="F54" s="48"/>
      <c r="G54" s="48"/>
      <c r="H54" s="48"/>
      <c r="I54" s="48"/>
      <c r="J54" s="48"/>
      <c r="K54" s="48"/>
    </row>
    <row r="55" spans="2:11" x14ac:dyDescent="0.2">
      <c r="B55" s="283" t="s">
        <v>388</v>
      </c>
      <c r="C55" s="48" t="s">
        <v>464</v>
      </c>
      <c r="D55" s="48"/>
      <c r="E55" s="48"/>
      <c r="F55" s="48"/>
      <c r="G55" s="48"/>
      <c r="H55" s="48"/>
      <c r="I55" s="48"/>
      <c r="J55" s="48"/>
      <c r="K55" s="48"/>
    </row>
    <row r="56" spans="2:11" x14ac:dyDescent="0.2">
      <c r="B56" s="48"/>
      <c r="C56" s="48"/>
      <c r="D56" s="48"/>
      <c r="E56" s="48"/>
      <c r="F56" s="48"/>
      <c r="G56" s="48"/>
      <c r="H56" s="48"/>
      <c r="I56" s="48"/>
      <c r="J56" s="48"/>
      <c r="K56" s="48"/>
    </row>
    <row r="57" spans="2:11" x14ac:dyDescent="0.2">
      <c r="B57" s="283" t="s">
        <v>391</v>
      </c>
      <c r="C57" s="48" t="s">
        <v>465</v>
      </c>
      <c r="D57" s="48"/>
      <c r="E57" s="48"/>
      <c r="F57" s="48"/>
      <c r="G57" s="48"/>
      <c r="H57" s="48"/>
      <c r="I57" s="48"/>
      <c r="J57" s="48"/>
      <c r="K57" s="48"/>
    </row>
    <row r="58" spans="2:11" x14ac:dyDescent="0.2">
      <c r="B58" s="49"/>
      <c r="C58" s="48"/>
      <c r="D58" s="48"/>
      <c r="E58" s="48"/>
      <c r="F58" s="48"/>
      <c r="G58" s="48"/>
      <c r="H58" s="48"/>
      <c r="I58" s="48"/>
      <c r="J58" s="48"/>
      <c r="K58" s="48"/>
    </row>
    <row r="59" spans="2:11" x14ac:dyDescent="0.2">
      <c r="B59" s="49"/>
      <c r="C59" s="48"/>
      <c r="D59" s="48"/>
      <c r="E59" s="48"/>
      <c r="F59" s="48"/>
      <c r="G59" s="48"/>
      <c r="H59" s="48"/>
      <c r="I59" s="48"/>
      <c r="J59" s="48"/>
      <c r="K59" s="48"/>
    </row>
    <row r="60" spans="2:11" x14ac:dyDescent="0.2">
      <c r="B60" s="49"/>
      <c r="E60" s="48"/>
      <c r="F60" s="48"/>
      <c r="G60" s="48"/>
      <c r="H60" s="48"/>
      <c r="I60" s="48"/>
      <c r="J60" s="48"/>
      <c r="K60" s="48"/>
    </row>
    <row r="61" spans="2:11" x14ac:dyDescent="0.2">
      <c r="B61" s="49"/>
      <c r="E61" s="48"/>
      <c r="F61" s="48"/>
      <c r="G61" s="48"/>
      <c r="H61" s="48"/>
      <c r="I61" s="48"/>
      <c r="J61" s="48"/>
      <c r="K61" s="48"/>
    </row>
    <row r="62" spans="2:11" x14ac:dyDescent="0.2">
      <c r="B62" s="51"/>
      <c r="E62" s="48"/>
      <c r="F62" s="48"/>
      <c r="G62" s="48"/>
      <c r="H62" s="48"/>
      <c r="I62" s="48"/>
      <c r="J62" s="48"/>
      <c r="K62" s="48"/>
    </row>
    <row r="63" spans="2:11" x14ac:dyDescent="0.2">
      <c r="B63" s="51"/>
      <c r="E63" s="48"/>
      <c r="F63" s="48"/>
      <c r="G63" s="48"/>
      <c r="H63" s="48"/>
      <c r="I63" s="48"/>
      <c r="J63" s="48"/>
      <c r="K63" s="48"/>
    </row>
    <row r="64" spans="2:11" x14ac:dyDescent="0.2">
      <c r="B64" s="48"/>
      <c r="E64" s="48"/>
      <c r="F64" s="48"/>
      <c r="G64" s="48"/>
      <c r="H64" s="48"/>
      <c r="I64" s="48"/>
      <c r="J64" s="48"/>
      <c r="K64" s="48"/>
    </row>
    <row r="65" spans="2:11" x14ac:dyDescent="0.2">
      <c r="B65" s="283" t="s">
        <v>345</v>
      </c>
      <c r="E65" s="48"/>
      <c r="F65" s="48"/>
      <c r="G65" s="48"/>
      <c r="H65" s="48"/>
      <c r="I65" s="48"/>
      <c r="J65" s="48"/>
      <c r="K65" s="48"/>
    </row>
    <row r="66" spans="2:11" x14ac:dyDescent="0.2">
      <c r="B66" s="283" t="s">
        <v>349</v>
      </c>
      <c r="E66" s="48"/>
      <c r="F66" s="48"/>
      <c r="G66" s="48"/>
      <c r="H66" s="48"/>
      <c r="I66" s="48"/>
      <c r="J66" s="48"/>
      <c r="K66" s="48"/>
    </row>
    <row r="67" spans="2:11" x14ac:dyDescent="0.2">
      <c r="E67" s="48"/>
      <c r="F67" s="48"/>
      <c r="G67" s="48"/>
      <c r="H67" s="48"/>
      <c r="I67" s="48"/>
      <c r="J67" s="48"/>
      <c r="K67" s="48"/>
    </row>
  </sheetData>
  <mergeCells count="3">
    <mergeCell ref="N4:O4"/>
    <mergeCell ref="B10:L10"/>
    <mergeCell ref="D4:L4"/>
  </mergeCells>
  <hyperlinks>
    <hyperlink ref="M2" location="'Share price quotes'!A1" display="'Share price quotes'!A1"/>
    <hyperlink ref="C2" location="Contents!A1" display="Contents!A1"/>
    <hyperlink ref="M3" location="Macroeconomics!A1" display="Macroeconomics!A1"/>
  </hyperlinks>
  <pageMargins left="0.7" right="0.7" top="0.75" bottom="0.75" header="0.3" footer="0.3"/>
  <pageSetup paperSize="9"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6" tint="0.59999389629810485"/>
    <pageSetUpPr fitToPage="1"/>
  </sheetPr>
  <dimension ref="A4:N267"/>
  <sheetViews>
    <sheetView view="pageBreakPreview" zoomScaleNormal="100" zoomScaleSheetLayoutView="100" workbookViewId="0">
      <selection activeCell="D5" sqref="D5:E5"/>
    </sheetView>
  </sheetViews>
  <sheetFormatPr defaultColWidth="9.140625" defaultRowHeight="12.75" x14ac:dyDescent="0.2"/>
  <cols>
    <col min="1" max="1" width="1.85546875" style="31" customWidth="1"/>
    <col min="2" max="2" width="22.7109375" style="31" customWidth="1"/>
    <col min="3" max="3" width="7.7109375" style="31" customWidth="1"/>
    <col min="4" max="4" width="6.42578125" style="31" bestFit="1" customWidth="1"/>
    <col min="5" max="5" width="6.42578125" style="92" customWidth="1"/>
    <col min="6" max="6" width="6.42578125" style="31" customWidth="1"/>
    <col min="7" max="7" width="7.28515625" style="31" customWidth="1"/>
    <col min="8" max="9" width="9.140625" style="31"/>
    <col min="10" max="12" width="8.28515625" style="31" customWidth="1"/>
    <col min="13" max="13" width="8.42578125" style="31" customWidth="1"/>
    <col min="14" max="16384" width="9.140625" style="31"/>
  </cols>
  <sheetData>
    <row r="4" spans="1:13" ht="24" customHeight="1" x14ac:dyDescent="0.2"/>
    <row r="5" spans="1:13" ht="12" customHeight="1" x14ac:dyDescent="0.2">
      <c r="A5" s="2"/>
      <c r="C5" s="281"/>
      <c r="D5" s="472" t="str">
        <f>IF(Contents!$B$8="English","Contents","Содержание")</f>
        <v>Содержание</v>
      </c>
      <c r="E5" s="472"/>
      <c r="F5" s="281"/>
      <c r="G5" s="281"/>
      <c r="H5" s="281"/>
      <c r="K5" s="281"/>
      <c r="L5" s="473" t="str">
        <f>IF(Contents!$B$8="English","Next","Вперед")</f>
        <v>Вперед</v>
      </c>
      <c r="M5" s="473"/>
    </row>
    <row r="6" spans="1:13" ht="12" customHeight="1" x14ac:dyDescent="0.2">
      <c r="A6" s="2"/>
      <c r="C6" s="378"/>
      <c r="D6" s="384"/>
      <c r="E6" s="384"/>
      <c r="F6" s="378"/>
      <c r="G6" s="378"/>
      <c r="H6" s="378"/>
      <c r="K6" s="378"/>
      <c r="L6" s="473" t="str">
        <f>IF(Contents!$B$8="English","Back","Назад")</f>
        <v>Назад</v>
      </c>
      <c r="M6" s="473"/>
    </row>
    <row r="7" spans="1:13" ht="18.75" x14ac:dyDescent="0.3">
      <c r="D7" s="475" t="str">
        <f>IF(Contents!$B$8="English","Shares","Акции ")</f>
        <v xml:space="preserve">Акции </v>
      </c>
      <c r="E7" s="475"/>
      <c r="F7" s="475"/>
      <c r="G7" s="475"/>
      <c r="H7" s="475"/>
      <c r="I7" s="475"/>
      <c r="J7" s="475"/>
      <c r="K7" s="475"/>
      <c r="L7" s="475"/>
      <c r="M7" s="475"/>
    </row>
    <row r="8" spans="1:13" ht="15" customHeight="1" x14ac:dyDescent="0.3">
      <c r="B8" s="475"/>
      <c r="C8" s="475"/>
      <c r="D8" s="475"/>
      <c r="E8" s="475"/>
      <c r="F8" s="475"/>
      <c r="G8" s="475"/>
      <c r="H8" s="475"/>
      <c r="I8" s="475"/>
      <c r="J8" s="475"/>
    </row>
    <row r="9" spans="1:13" s="37" customFormat="1" x14ac:dyDescent="0.2">
      <c r="B9" s="87"/>
      <c r="C9" s="87"/>
      <c r="D9" s="87"/>
    </row>
    <row r="10" spans="1:13" ht="16.5" customHeight="1" x14ac:dyDescent="0.2">
      <c r="B10" s="96" t="str">
        <f>IF(Contents!$B$8="English",B114,B62)</f>
        <v>Уровень списка</v>
      </c>
      <c r="C10" s="96"/>
      <c r="J10" s="91"/>
      <c r="K10" s="91"/>
      <c r="L10" s="91"/>
      <c r="M10" s="91"/>
    </row>
    <row r="11" spans="1:13" ht="28.5" customHeight="1" x14ac:dyDescent="0.2">
      <c r="B11" s="93" t="str">
        <f>IF(Contents!$B$8="English",B115,B63)</f>
        <v>Московская биржа</v>
      </c>
      <c r="C11" s="94" t="str">
        <f>IF(Contents!$B$8="English","Level 3","III уровень")</f>
        <v>III уровень</v>
      </c>
      <c r="J11" s="95"/>
      <c r="K11" s="95"/>
      <c r="L11" s="95"/>
      <c r="M11" s="95"/>
    </row>
    <row r="12" spans="1:13" ht="18" customHeight="1" x14ac:dyDescent="0.2">
      <c r="B12" s="96" t="str">
        <f>IF(Contents!$B$8="English",B116,B64)</f>
        <v xml:space="preserve">Тиккеры </v>
      </c>
      <c r="C12" s="96"/>
      <c r="J12" s="95"/>
      <c r="K12" s="95"/>
      <c r="L12" s="95"/>
      <c r="M12" s="95"/>
    </row>
    <row r="13" spans="1:13" ht="28.5" customHeight="1" x14ac:dyDescent="0.2">
      <c r="B13" s="93" t="str">
        <f>IF(Contents!$B$8="English",B117,B65)</f>
        <v xml:space="preserve">Обыкновенные акции </v>
      </c>
      <c r="C13" s="94" t="s">
        <v>52</v>
      </c>
      <c r="J13" s="95"/>
      <c r="K13" s="95"/>
      <c r="L13" s="95"/>
      <c r="M13" s="95"/>
    </row>
    <row r="14" spans="1:13" ht="28.5" customHeight="1" thickBot="1" x14ac:dyDescent="0.25">
      <c r="B14" s="97" t="str">
        <f>IF(Contents!$B$8="English",B118,B66)</f>
        <v xml:space="preserve">Привилегированные акции </v>
      </c>
      <c r="C14" s="98" t="s">
        <v>54</v>
      </c>
    </row>
    <row r="15" spans="1:13" x14ac:dyDescent="0.2">
      <c r="B15" s="93"/>
      <c r="C15" s="2"/>
      <c r="D15" s="2"/>
      <c r="E15" s="90"/>
      <c r="F15" s="2"/>
      <c r="G15" s="2"/>
      <c r="H15" s="2"/>
      <c r="I15" s="2"/>
      <c r="J15" s="2"/>
      <c r="K15" s="2"/>
      <c r="L15" s="2"/>
      <c r="M15" s="2"/>
    </row>
    <row r="16" spans="1:13" s="37" customFormat="1" x14ac:dyDescent="0.2">
      <c r="B16" s="37" t="str">
        <f>IF(Contents!$B$8="English",B120,B68)</f>
        <v>Котировки обыкновенных акций ПАО «Россети Ленэнерго» на ПАО Московская биржа, руб.*</v>
      </c>
      <c r="E16" s="120"/>
    </row>
    <row r="17" spans="2:13" x14ac:dyDescent="0.2">
      <c r="B17" s="150"/>
      <c r="C17" s="117">
        <v>2012</v>
      </c>
      <c r="D17" s="118">
        <v>2013</v>
      </c>
      <c r="E17" s="118">
        <v>2014</v>
      </c>
      <c r="F17" s="118">
        <v>2015</v>
      </c>
      <c r="G17" s="118">
        <v>2016</v>
      </c>
      <c r="H17" s="118">
        <v>2017</v>
      </c>
      <c r="I17" s="118">
        <v>2018</v>
      </c>
      <c r="J17" s="118">
        <v>2019</v>
      </c>
      <c r="K17" s="118">
        <v>2020</v>
      </c>
      <c r="L17" s="118">
        <v>2021</v>
      </c>
      <c r="M17" s="151">
        <v>2022</v>
      </c>
    </row>
    <row r="18" spans="2:13" x14ac:dyDescent="0.2">
      <c r="B18" s="99" t="str">
        <f>IF(Contents!$B$8="English",B122,B70)</f>
        <v>1 квартал</v>
      </c>
      <c r="C18" s="101"/>
      <c r="D18" s="92"/>
      <c r="F18" s="92"/>
      <c r="G18" s="92"/>
      <c r="H18" s="92"/>
      <c r="I18" s="92"/>
      <c r="J18" s="92"/>
      <c r="K18" s="92"/>
      <c r="M18" s="124"/>
    </row>
    <row r="19" spans="2:13" x14ac:dyDescent="0.2">
      <c r="B19" s="89" t="str">
        <f>IF(Contents!$B$8="English",B123,B71)</f>
        <v>Минимум</v>
      </c>
      <c r="C19" s="101">
        <v>10.039</v>
      </c>
      <c r="D19" s="102">
        <v>5.85</v>
      </c>
      <c r="E19" s="102">
        <v>2.21</v>
      </c>
      <c r="F19" s="102">
        <v>1.7</v>
      </c>
      <c r="G19" s="102">
        <v>2.15</v>
      </c>
      <c r="H19" s="102">
        <v>4.3899999999999997</v>
      </c>
      <c r="I19" s="102">
        <v>4.76</v>
      </c>
      <c r="J19" s="102">
        <v>5.21</v>
      </c>
      <c r="K19" s="102">
        <v>4.63</v>
      </c>
      <c r="L19" s="31">
        <v>5.21</v>
      </c>
      <c r="M19" s="124">
        <v>4.21</v>
      </c>
    </row>
    <row r="20" spans="2:13" ht="13.5" customHeight="1" x14ac:dyDescent="0.2">
      <c r="B20" s="89" t="str">
        <f>IF(Contents!$B$8="English",B124,B72)</f>
        <v>Максимум</v>
      </c>
      <c r="C20" s="101">
        <v>11.21</v>
      </c>
      <c r="D20" s="102">
        <v>6.0970000000000004</v>
      </c>
      <c r="E20" s="102">
        <v>2.2839999999999998</v>
      </c>
      <c r="F20" s="102">
        <v>3</v>
      </c>
      <c r="G20" s="102">
        <v>3.35</v>
      </c>
      <c r="H20" s="102">
        <v>5.9349999999999996</v>
      </c>
      <c r="I20" s="102">
        <v>5.96</v>
      </c>
      <c r="J20" s="102">
        <v>6</v>
      </c>
      <c r="K20" s="102">
        <v>7.32</v>
      </c>
      <c r="L20" s="31">
        <v>7.79</v>
      </c>
      <c r="M20" s="124">
        <v>8.9</v>
      </c>
    </row>
    <row r="21" spans="2:13" x14ac:dyDescent="0.2">
      <c r="B21" s="103" t="str">
        <f>IF(Contents!$B$8="English",B125,B73)</f>
        <v>Закрытие</v>
      </c>
      <c r="C21" s="101">
        <v>10.423999999999999</v>
      </c>
      <c r="D21" s="104">
        <v>5.9489999999999998</v>
      </c>
      <c r="E21" s="104">
        <v>2.2440000000000002</v>
      </c>
      <c r="F21" s="104">
        <v>2.29</v>
      </c>
      <c r="G21" s="104">
        <v>3.105</v>
      </c>
      <c r="H21" s="104">
        <v>5.0149999999999997</v>
      </c>
      <c r="I21" s="104">
        <v>5.665</v>
      </c>
      <c r="J21" s="104">
        <v>5.94</v>
      </c>
      <c r="K21" s="104">
        <v>5.66</v>
      </c>
      <c r="L21" s="179">
        <v>6.02</v>
      </c>
      <c r="M21" s="429">
        <v>7.4</v>
      </c>
    </row>
    <row r="22" spans="2:13" x14ac:dyDescent="0.2">
      <c r="B22" s="105" t="str">
        <f>IF(Contents!$B$8="English",B126,B74)</f>
        <v>2 квартал</v>
      </c>
      <c r="C22" s="107"/>
      <c r="D22" s="108"/>
      <c r="E22" s="108"/>
      <c r="F22" s="108"/>
      <c r="G22" s="108"/>
      <c r="H22" s="108"/>
      <c r="I22" s="108"/>
      <c r="J22" s="108"/>
      <c r="K22" s="108"/>
      <c r="M22" s="124"/>
    </row>
    <row r="23" spans="2:13" x14ac:dyDescent="0.2">
      <c r="B23" s="89" t="str">
        <f>IF(Contents!$B$8="English",B127,B75)</f>
        <v>Минимум</v>
      </c>
      <c r="C23" s="109">
        <v>6.5650000000000004</v>
      </c>
      <c r="D23" s="102">
        <v>4.5750000000000002</v>
      </c>
      <c r="E23" s="102">
        <v>2.7</v>
      </c>
      <c r="F23" s="102">
        <v>2.14</v>
      </c>
      <c r="G23" s="102">
        <v>2.6749999999999998</v>
      </c>
      <c r="H23" s="102">
        <v>3.7549999999999999</v>
      </c>
      <c r="I23" s="102">
        <v>5.2050000000000001</v>
      </c>
      <c r="J23" s="102">
        <v>5.4</v>
      </c>
      <c r="K23" s="102">
        <v>5.81</v>
      </c>
      <c r="L23" s="31">
        <v>5.74</v>
      </c>
      <c r="M23" s="124">
        <v>6.59</v>
      </c>
    </row>
    <row r="24" spans="2:13" ht="12" customHeight="1" x14ac:dyDescent="0.2">
      <c r="B24" s="89" t="str">
        <f>IF(Contents!$B$8="English",B128,B76)</f>
        <v xml:space="preserve">Максимум </v>
      </c>
      <c r="C24" s="109">
        <v>10.824</v>
      </c>
      <c r="D24" s="102">
        <v>4.5780000000000003</v>
      </c>
      <c r="E24" s="102">
        <v>2.9</v>
      </c>
      <c r="F24" s="102">
        <v>4.2450000000000001</v>
      </c>
      <c r="G24" s="102">
        <v>3.4750000000000001</v>
      </c>
      <c r="H24" s="102">
        <v>5.3949999999999996</v>
      </c>
      <c r="I24" s="102">
        <v>6.9450000000000003</v>
      </c>
      <c r="J24" s="102">
        <v>6.34</v>
      </c>
      <c r="K24" s="102">
        <v>7.19</v>
      </c>
      <c r="L24" s="31">
        <v>6.92</v>
      </c>
      <c r="M24" s="124">
        <v>8.69</v>
      </c>
    </row>
    <row r="25" spans="2:13" x14ac:dyDescent="0.2">
      <c r="B25" s="103" t="str">
        <f>IF(Contents!$B$8="English",B129,B77)</f>
        <v>Закрытие</v>
      </c>
      <c r="C25" s="110">
        <v>6.6059999999999999</v>
      </c>
      <c r="D25" s="104">
        <v>4.5750000000000002</v>
      </c>
      <c r="E25" s="104">
        <v>2.9</v>
      </c>
      <c r="F25" s="104">
        <v>2.9</v>
      </c>
      <c r="G25" s="104">
        <v>2.895</v>
      </c>
      <c r="H25" s="104">
        <v>4.51</v>
      </c>
      <c r="I25" s="104">
        <v>5.7949999999999999</v>
      </c>
      <c r="J25" s="104">
        <v>5.73</v>
      </c>
      <c r="K25" s="104">
        <v>6.01</v>
      </c>
      <c r="L25" s="179">
        <v>6.24</v>
      </c>
      <c r="M25" s="429">
        <v>6.92</v>
      </c>
    </row>
    <row r="26" spans="2:13" x14ac:dyDescent="0.2">
      <c r="B26" s="105" t="str">
        <f>IF(Contents!$B$8="English",B130,B78)</f>
        <v>3 квартал</v>
      </c>
      <c r="C26" s="107"/>
      <c r="D26" s="102"/>
      <c r="E26" s="102"/>
      <c r="F26" s="102"/>
      <c r="G26" s="102"/>
      <c r="H26" s="102"/>
      <c r="I26" s="102"/>
      <c r="J26" s="102"/>
      <c r="K26" s="102"/>
      <c r="M26" s="124"/>
    </row>
    <row r="27" spans="2:13" x14ac:dyDescent="0.2">
      <c r="B27" s="89" t="str">
        <f>IF(Contents!$B$8="English",B131,B79)</f>
        <v>Минимум</v>
      </c>
      <c r="C27" s="92">
        <v>5.47</v>
      </c>
      <c r="D27" s="102">
        <v>3.1880000000000002</v>
      </c>
      <c r="E27" s="102">
        <v>2.38</v>
      </c>
      <c r="F27" s="102">
        <v>1.575</v>
      </c>
      <c r="G27" s="102">
        <v>2.85</v>
      </c>
      <c r="H27" s="102">
        <v>4.4000000000000004</v>
      </c>
      <c r="I27" s="102">
        <v>4.5</v>
      </c>
      <c r="J27" s="102">
        <v>5.59</v>
      </c>
      <c r="K27" s="102">
        <v>4.5</v>
      </c>
      <c r="L27" s="31">
        <v>5.83</v>
      </c>
      <c r="M27" s="124">
        <v>4.88</v>
      </c>
    </row>
    <row r="28" spans="2:13" ht="12" customHeight="1" x14ac:dyDescent="0.2">
      <c r="B28" s="89" t="str">
        <f>IF(Contents!$B$8="English",B132,B80)</f>
        <v>Максимум</v>
      </c>
      <c r="C28" s="92">
        <v>7.33</v>
      </c>
      <c r="D28" s="102">
        <v>3.3319999999999999</v>
      </c>
      <c r="E28" s="102">
        <v>2.577</v>
      </c>
      <c r="F28" s="102">
        <v>3.0449999999999999</v>
      </c>
      <c r="G28" s="102">
        <v>5.9</v>
      </c>
      <c r="H28" s="102">
        <v>6.1950000000000003</v>
      </c>
      <c r="I28" s="102">
        <v>6.8949999999999996</v>
      </c>
      <c r="J28" s="102">
        <v>5.95</v>
      </c>
      <c r="K28" s="102">
        <v>6.18</v>
      </c>
      <c r="L28" s="31">
        <v>7.19</v>
      </c>
      <c r="M28" s="124">
        <v>8</v>
      </c>
    </row>
    <row r="29" spans="2:13" x14ac:dyDescent="0.2">
      <c r="B29" s="103" t="str">
        <f>IF(Contents!$B$8="English",B133,B81)</f>
        <v>Закрытие</v>
      </c>
      <c r="C29" s="110">
        <v>6.9889999999999999</v>
      </c>
      <c r="D29" s="104">
        <v>3.2370000000000001</v>
      </c>
      <c r="E29" s="104">
        <v>2.4329999999999998</v>
      </c>
      <c r="F29" s="104">
        <v>2.6349999999999998</v>
      </c>
      <c r="G29" s="104">
        <v>5.4349999999999996</v>
      </c>
      <c r="H29" s="104">
        <v>5.585</v>
      </c>
      <c r="I29" s="104">
        <v>6.3</v>
      </c>
      <c r="J29" s="104">
        <v>5.72</v>
      </c>
      <c r="K29" s="104">
        <v>5.58</v>
      </c>
      <c r="L29" s="179">
        <v>6.34</v>
      </c>
      <c r="M29" s="429">
        <v>5.15</v>
      </c>
    </row>
    <row r="30" spans="2:13" x14ac:dyDescent="0.2">
      <c r="B30" s="99" t="str">
        <f>IF(Contents!$B$8="English",B134,B82)</f>
        <v>4 квартал</v>
      </c>
      <c r="C30" s="92"/>
      <c r="D30" s="108"/>
      <c r="E30" s="108"/>
      <c r="F30" s="108"/>
      <c r="G30" s="108"/>
      <c r="H30" s="108"/>
      <c r="I30" s="108"/>
      <c r="J30" s="108"/>
      <c r="K30" s="108"/>
      <c r="M30" s="124"/>
    </row>
    <row r="31" spans="2:13" x14ac:dyDescent="0.2">
      <c r="B31" s="89" t="str">
        <f>IF(Contents!$B$8="English",B135,B83)</f>
        <v>Минимум</v>
      </c>
      <c r="C31" s="111">
        <v>6.5</v>
      </c>
      <c r="D31" s="102">
        <v>2.3159999999999998</v>
      </c>
      <c r="E31" s="102">
        <v>1.7450000000000001</v>
      </c>
      <c r="F31" s="102">
        <v>2.2250000000000001</v>
      </c>
      <c r="G31" s="102">
        <v>2.15</v>
      </c>
      <c r="H31" s="102">
        <v>4.5</v>
      </c>
      <c r="I31" s="102">
        <v>5</v>
      </c>
      <c r="J31" s="102">
        <v>6.51</v>
      </c>
      <c r="K31" s="102">
        <v>4.71</v>
      </c>
      <c r="L31" s="31">
        <v>6.21</v>
      </c>
      <c r="M31" s="124">
        <v>5.16</v>
      </c>
    </row>
    <row r="32" spans="2:13" ht="12.75" customHeight="1" x14ac:dyDescent="0.2">
      <c r="B32" s="89" t="str">
        <f>IF(Contents!$B$8="English",B136,B84)</f>
        <v>Максимум</v>
      </c>
      <c r="C32" s="92">
        <v>6.62</v>
      </c>
      <c r="D32" s="102">
        <v>2.4990000000000001</v>
      </c>
      <c r="E32" s="102">
        <v>1.875</v>
      </c>
      <c r="F32" s="102">
        <v>3.1749999999999998</v>
      </c>
      <c r="G32" s="102">
        <v>6.25</v>
      </c>
      <c r="H32" s="102">
        <v>5.95</v>
      </c>
      <c r="I32" s="102">
        <v>6.41</v>
      </c>
      <c r="J32" s="102">
        <v>7.5</v>
      </c>
      <c r="K32" s="102">
        <v>5.91</v>
      </c>
      <c r="L32" s="31">
        <v>15.1</v>
      </c>
      <c r="M32" s="124">
        <v>13.6</v>
      </c>
    </row>
    <row r="33" spans="2:14" x14ac:dyDescent="0.2">
      <c r="B33" s="185" t="str">
        <f>IF(Contents!$B$8="English",B137,B85)</f>
        <v>Закрытие</v>
      </c>
      <c r="C33" s="92">
        <v>6.55</v>
      </c>
      <c r="D33" s="102">
        <v>2.3199999999999998</v>
      </c>
      <c r="E33" s="102">
        <v>1.75</v>
      </c>
      <c r="F33" s="102">
        <v>2.2799999999999998</v>
      </c>
      <c r="G33" s="102">
        <v>5.5049999999999999</v>
      </c>
      <c r="H33" s="102">
        <v>4.8</v>
      </c>
      <c r="I33" s="102">
        <v>5.3</v>
      </c>
      <c r="J33" s="102">
        <v>7.04</v>
      </c>
      <c r="K33" s="102">
        <v>5.31</v>
      </c>
      <c r="L33" s="31">
        <v>8.34</v>
      </c>
      <c r="M33" s="124">
        <v>8.52</v>
      </c>
    </row>
    <row r="35" spans="2:14" s="37" customFormat="1" x14ac:dyDescent="0.2">
      <c r="B35" s="37" t="str">
        <f>IF(Contents!$B$8="English",B139,B87)</f>
        <v>Котировки привилегированных акций ПАО «Россети Ленэнерго» на ПАО Московская биржа, руб.*</v>
      </c>
      <c r="E35" s="120"/>
    </row>
    <row r="36" spans="2:14" s="37" customFormat="1" x14ac:dyDescent="0.2">
      <c r="C36" s="121">
        <v>2012</v>
      </c>
      <c r="D36" s="120">
        <v>2013</v>
      </c>
      <c r="E36" s="120">
        <v>2014</v>
      </c>
      <c r="F36" s="118">
        <v>2015</v>
      </c>
      <c r="G36" s="118">
        <v>2016</v>
      </c>
      <c r="H36" s="118">
        <v>2017</v>
      </c>
      <c r="I36" s="118">
        <v>2018</v>
      </c>
      <c r="J36" s="118">
        <v>2019</v>
      </c>
      <c r="K36" s="118">
        <v>2020</v>
      </c>
      <c r="L36" s="118">
        <v>2021</v>
      </c>
      <c r="M36" s="151">
        <v>2022</v>
      </c>
    </row>
    <row r="37" spans="2:14" x14ac:dyDescent="0.2">
      <c r="B37" s="105" t="str">
        <f>IF(Contents!$B$8="English",B141,B89)</f>
        <v>1 квартал</v>
      </c>
      <c r="C37" s="113"/>
      <c r="D37" s="113"/>
      <c r="E37" s="113"/>
      <c r="F37" s="112"/>
      <c r="G37" s="112"/>
      <c r="H37" s="112"/>
      <c r="I37" s="112"/>
      <c r="J37" s="112"/>
      <c r="K37" s="112"/>
      <c r="M37" s="124"/>
    </row>
    <row r="38" spans="2:14" x14ac:dyDescent="0.2">
      <c r="B38" s="89" t="str">
        <f>IF(Contents!$B$8="English",B142,B90)</f>
        <v>Минимум</v>
      </c>
      <c r="C38" s="111">
        <v>22.358000000000001</v>
      </c>
      <c r="D38" s="102">
        <v>12.705</v>
      </c>
      <c r="E38" s="102">
        <v>13.545</v>
      </c>
      <c r="F38" s="102">
        <v>9.9499999999999993</v>
      </c>
      <c r="G38" s="102">
        <v>11.6</v>
      </c>
      <c r="H38" s="102">
        <v>43.7</v>
      </c>
      <c r="I38" s="102">
        <v>80.400000000000006</v>
      </c>
      <c r="J38" s="102">
        <v>92.72</v>
      </c>
      <c r="K38" s="102">
        <v>112.4</v>
      </c>
      <c r="L38" s="31">
        <v>149.55000000000001</v>
      </c>
      <c r="M38" s="124">
        <v>96.9</v>
      </c>
    </row>
    <row r="39" spans="2:14" x14ac:dyDescent="0.2">
      <c r="B39" s="89" t="str">
        <f>IF(Contents!$B$8="English",B143,B91)</f>
        <v>Максимум</v>
      </c>
      <c r="C39" s="111">
        <v>26.315000000000001</v>
      </c>
      <c r="D39" s="102">
        <v>13.395</v>
      </c>
      <c r="E39" s="102">
        <v>13.95</v>
      </c>
      <c r="F39" s="102">
        <v>13.15</v>
      </c>
      <c r="G39" s="102">
        <v>14.65</v>
      </c>
      <c r="H39" s="102">
        <v>59</v>
      </c>
      <c r="I39" s="102">
        <v>108.5</v>
      </c>
      <c r="J39" s="102">
        <v>107.85</v>
      </c>
      <c r="K39" s="102">
        <v>153.5</v>
      </c>
      <c r="L39" s="31">
        <v>162</v>
      </c>
      <c r="M39" s="124">
        <v>175</v>
      </c>
    </row>
    <row r="40" spans="2:14" x14ac:dyDescent="0.2">
      <c r="B40" s="103" t="str">
        <f>IF(Contents!$B$8="English",B144,B92)</f>
        <v>Закрытие</v>
      </c>
      <c r="C40" s="111">
        <v>23.405999999999999</v>
      </c>
      <c r="D40" s="104">
        <v>13.032999999999999</v>
      </c>
      <c r="E40" s="104">
        <v>13.95</v>
      </c>
      <c r="F40" s="104">
        <v>10.199999999999999</v>
      </c>
      <c r="G40" s="104">
        <v>14.5</v>
      </c>
      <c r="H40" s="104">
        <v>46.5</v>
      </c>
      <c r="I40" s="104">
        <v>100.85</v>
      </c>
      <c r="J40" s="104">
        <v>97.6</v>
      </c>
      <c r="K40" s="104">
        <v>119.95</v>
      </c>
      <c r="L40" s="179">
        <v>154</v>
      </c>
      <c r="M40" s="429">
        <v>118.3</v>
      </c>
    </row>
    <row r="41" spans="2:14" x14ac:dyDescent="0.2">
      <c r="B41" s="105" t="str">
        <f>IF(Contents!$B$8="English",B145,B93)</f>
        <v>2 квартал</v>
      </c>
      <c r="C41" s="114"/>
      <c r="D41" s="106"/>
      <c r="E41" s="106"/>
      <c r="F41" s="106"/>
      <c r="G41" s="106"/>
      <c r="H41" s="106"/>
      <c r="I41" s="106"/>
      <c r="J41" s="106"/>
      <c r="K41" s="106"/>
      <c r="M41" s="124"/>
    </row>
    <row r="42" spans="2:14" x14ac:dyDescent="0.2">
      <c r="B42" s="89" t="str">
        <f>IF(Contents!$B$8="English",B146,B94)</f>
        <v>Минимум</v>
      </c>
      <c r="C42" s="102">
        <v>16.484000000000002</v>
      </c>
      <c r="D42" s="102">
        <v>11.8</v>
      </c>
      <c r="E42" s="102">
        <v>14.93</v>
      </c>
      <c r="F42" s="102">
        <v>9.25</v>
      </c>
      <c r="G42" s="102">
        <v>13.8</v>
      </c>
      <c r="H42" s="102">
        <v>40</v>
      </c>
      <c r="I42" s="102">
        <v>93.3</v>
      </c>
      <c r="J42" s="102">
        <v>95.75</v>
      </c>
      <c r="K42" s="102">
        <v>131.94999999999999</v>
      </c>
      <c r="L42" s="31">
        <v>149.5</v>
      </c>
      <c r="M42" s="124">
        <v>110.9</v>
      </c>
      <c r="N42" s="329"/>
    </row>
    <row r="43" spans="2:14" x14ac:dyDescent="0.2">
      <c r="B43" s="89" t="str">
        <f>IF(Contents!$B$8="English",B147,B95)</f>
        <v xml:space="preserve">Максимум </v>
      </c>
      <c r="C43" s="102">
        <v>23.984999999999999</v>
      </c>
      <c r="D43" s="102">
        <v>12</v>
      </c>
      <c r="E43" s="102">
        <v>15</v>
      </c>
      <c r="F43" s="102">
        <v>17</v>
      </c>
      <c r="G43" s="102">
        <v>16.350000000000001</v>
      </c>
      <c r="H43" s="102">
        <v>63.9</v>
      </c>
      <c r="I43" s="102">
        <v>122</v>
      </c>
      <c r="J43" s="102">
        <v>114.8</v>
      </c>
      <c r="K43" s="102">
        <v>175.5</v>
      </c>
      <c r="L43" s="31">
        <v>172</v>
      </c>
      <c r="M43" s="124">
        <v>168.55</v>
      </c>
      <c r="N43" s="329"/>
    </row>
    <row r="44" spans="2:14" x14ac:dyDescent="0.2">
      <c r="B44" s="103" t="str">
        <f>IF(Contents!$B$8="English",B148,B96)</f>
        <v>Закрытие</v>
      </c>
      <c r="C44" s="104">
        <v>17.023</v>
      </c>
      <c r="D44" s="104">
        <v>12</v>
      </c>
      <c r="E44" s="104">
        <v>15</v>
      </c>
      <c r="F44" s="104">
        <v>11.9</v>
      </c>
      <c r="G44" s="104">
        <v>15.05</v>
      </c>
      <c r="H44" s="104">
        <v>52.5</v>
      </c>
      <c r="I44" s="104">
        <v>98</v>
      </c>
      <c r="J44" s="104">
        <v>101.55</v>
      </c>
      <c r="K44" s="104">
        <v>154.6</v>
      </c>
      <c r="L44" s="179">
        <v>153.65</v>
      </c>
      <c r="M44" s="429">
        <v>138.75</v>
      </c>
      <c r="N44" s="329"/>
    </row>
    <row r="45" spans="2:14" x14ac:dyDescent="0.2">
      <c r="B45" s="105" t="str">
        <f>IF(Contents!$B$8="English",B149,B97)</f>
        <v>3 квартал</v>
      </c>
      <c r="C45" s="114"/>
      <c r="D45" s="106"/>
      <c r="E45" s="106"/>
      <c r="F45" s="106"/>
      <c r="G45" s="106"/>
      <c r="H45" s="106"/>
      <c r="I45" s="106"/>
      <c r="J45" s="106"/>
      <c r="K45" s="106"/>
      <c r="M45" s="124"/>
      <c r="N45" s="329"/>
    </row>
    <row r="46" spans="2:14" x14ac:dyDescent="0.2">
      <c r="B46" s="89" t="str">
        <f>IF(Contents!$B$8="English",B150,B98)</f>
        <v>Минимум</v>
      </c>
      <c r="C46" s="111">
        <v>15.271000000000001</v>
      </c>
      <c r="D46" s="102">
        <v>11.775</v>
      </c>
      <c r="E46" s="102">
        <v>14.3</v>
      </c>
      <c r="F46" s="102">
        <v>10.3</v>
      </c>
      <c r="G46" s="102">
        <v>15.1</v>
      </c>
      <c r="H46" s="102">
        <v>51.65</v>
      </c>
      <c r="I46" s="102">
        <v>82.25</v>
      </c>
      <c r="J46" s="102">
        <v>101</v>
      </c>
      <c r="K46" s="102">
        <v>146.05000000000001</v>
      </c>
      <c r="L46" s="31">
        <v>150.15</v>
      </c>
      <c r="M46" s="124">
        <v>100.1</v>
      </c>
      <c r="N46" s="329"/>
    </row>
    <row r="47" spans="2:14" x14ac:dyDescent="0.2">
      <c r="B47" s="89" t="str">
        <f>IF(Contents!$B$8="English",B151,B99)</f>
        <v>Максимум</v>
      </c>
      <c r="C47" s="111">
        <v>19.5</v>
      </c>
      <c r="D47" s="102">
        <v>12</v>
      </c>
      <c r="E47" s="102">
        <v>14.618</v>
      </c>
      <c r="F47" s="102">
        <v>12.95</v>
      </c>
      <c r="G47" s="102">
        <v>46.95</v>
      </c>
      <c r="H47" s="102">
        <v>72.900000000000006</v>
      </c>
      <c r="I47" s="102">
        <v>104.5</v>
      </c>
      <c r="J47" s="102">
        <v>121.4</v>
      </c>
      <c r="K47" s="102">
        <v>162.30000000000001</v>
      </c>
      <c r="L47" s="31">
        <v>179.75</v>
      </c>
      <c r="M47" s="124">
        <v>159</v>
      </c>
      <c r="N47" s="329"/>
    </row>
    <row r="48" spans="2:14" x14ac:dyDescent="0.2">
      <c r="B48" s="103" t="str">
        <f>IF(Contents!$B$8="English",B152,B100)</f>
        <v>Закрытие</v>
      </c>
      <c r="C48" s="110">
        <v>18.300999999999998</v>
      </c>
      <c r="D48" s="104">
        <v>11.782</v>
      </c>
      <c r="E48" s="104">
        <v>14.618</v>
      </c>
      <c r="F48" s="104">
        <v>12.1</v>
      </c>
      <c r="G48" s="104">
        <v>43.9</v>
      </c>
      <c r="H48" s="104">
        <v>71.95</v>
      </c>
      <c r="I48" s="104">
        <v>93.35</v>
      </c>
      <c r="J48" s="104">
        <v>118.85</v>
      </c>
      <c r="K48" s="104">
        <v>152.75</v>
      </c>
      <c r="L48" s="179">
        <v>166.9</v>
      </c>
      <c r="M48" s="429">
        <v>104.65</v>
      </c>
      <c r="N48" s="329"/>
    </row>
    <row r="49" spans="2:14" x14ac:dyDescent="0.2">
      <c r="B49" s="99" t="str">
        <f>IF(Contents!$B$8="English",B153,B101)</f>
        <v>4 квартал</v>
      </c>
      <c r="C49" s="111"/>
      <c r="D49" s="108"/>
      <c r="E49" s="108"/>
      <c r="F49" s="108"/>
      <c r="G49" s="108"/>
      <c r="H49" s="108"/>
      <c r="I49" s="108"/>
      <c r="J49" s="108"/>
      <c r="K49" s="108"/>
      <c r="M49" s="124"/>
      <c r="N49" s="329"/>
    </row>
    <row r="50" spans="2:14" x14ac:dyDescent="0.2">
      <c r="B50" s="89" t="str">
        <f>IF(Contents!$B$8="English",B154,B102)</f>
        <v>Минимум</v>
      </c>
      <c r="C50" s="111">
        <v>17.5</v>
      </c>
      <c r="D50" s="102">
        <v>11.175000000000001</v>
      </c>
      <c r="E50" s="102">
        <v>10.7</v>
      </c>
      <c r="F50" s="102">
        <v>11.55</v>
      </c>
      <c r="G50" s="102">
        <v>11.6</v>
      </c>
      <c r="H50" s="102">
        <v>70.8</v>
      </c>
      <c r="I50" s="102">
        <v>86.7</v>
      </c>
      <c r="J50" s="102">
        <v>117.3</v>
      </c>
      <c r="K50" s="102">
        <v>142.65</v>
      </c>
      <c r="L50" s="31">
        <v>157.5</v>
      </c>
      <c r="M50" s="124">
        <v>105</v>
      </c>
      <c r="N50" s="329"/>
    </row>
    <row r="51" spans="2:14" x14ac:dyDescent="0.2">
      <c r="B51" s="89" t="str">
        <f>IF(Contents!$B$8="English",B155,B103)</f>
        <v>Максимум</v>
      </c>
      <c r="C51" s="111">
        <v>17.66</v>
      </c>
      <c r="D51" s="102">
        <v>11.398999999999999</v>
      </c>
      <c r="E51" s="102">
        <v>12.25</v>
      </c>
      <c r="F51" s="102">
        <v>14.9</v>
      </c>
      <c r="G51" s="102">
        <v>51.1</v>
      </c>
      <c r="H51" s="102">
        <v>93</v>
      </c>
      <c r="I51" s="102">
        <v>99.25</v>
      </c>
      <c r="J51" s="102">
        <v>129.80000000000001</v>
      </c>
      <c r="K51" s="102">
        <v>155.9</v>
      </c>
      <c r="L51" s="31">
        <v>189.9</v>
      </c>
      <c r="M51" s="124">
        <v>151</v>
      </c>
      <c r="N51" s="329"/>
    </row>
    <row r="52" spans="2:14" x14ac:dyDescent="0.2">
      <c r="B52" s="185" t="str">
        <f>IF(Contents!$B$8="English",B156,B104)</f>
        <v>Закрытие</v>
      </c>
      <c r="C52" s="111">
        <v>17.600000000000001</v>
      </c>
      <c r="D52" s="102">
        <v>11.374000000000001</v>
      </c>
      <c r="E52" s="102">
        <v>11.2</v>
      </c>
      <c r="F52" s="102">
        <v>11.85</v>
      </c>
      <c r="G52" s="102">
        <v>45.4</v>
      </c>
      <c r="H52" s="102">
        <v>81.400000000000006</v>
      </c>
      <c r="I52" s="102">
        <v>94.1</v>
      </c>
      <c r="J52" s="102">
        <v>122.3</v>
      </c>
      <c r="K52" s="102">
        <v>152.80000000000001</v>
      </c>
      <c r="L52" s="31">
        <v>169.5</v>
      </c>
      <c r="M52" s="124">
        <v>118.8</v>
      </c>
      <c r="N52" s="329"/>
    </row>
    <row r="53" spans="2:14" x14ac:dyDescent="0.2">
      <c r="C53" s="116"/>
      <c r="N53" s="329"/>
    </row>
    <row r="54" spans="2:14" s="37" customFormat="1" x14ac:dyDescent="0.2">
      <c r="B54" s="37" t="str">
        <f>IF(Contents!$B$8="English",B158,B106)</f>
        <v>Капитализация ПАО «Россети Ленэнерго» на ПАО Московская биржа, млн руб.**</v>
      </c>
      <c r="E54" s="120"/>
      <c r="N54" s="31"/>
    </row>
    <row r="55" spans="2:14" x14ac:dyDescent="0.2">
      <c r="B55" s="118"/>
      <c r="C55" s="118">
        <v>2012</v>
      </c>
      <c r="D55" s="118">
        <v>2013</v>
      </c>
      <c r="E55" s="118">
        <v>2014</v>
      </c>
      <c r="F55" s="118">
        <v>2015</v>
      </c>
      <c r="G55" s="118">
        <v>2016</v>
      </c>
      <c r="H55" s="118">
        <v>2017</v>
      </c>
      <c r="I55" s="118">
        <v>2018</v>
      </c>
      <c r="J55" s="118">
        <v>2019</v>
      </c>
      <c r="K55" s="118">
        <v>2020</v>
      </c>
      <c r="L55" s="118">
        <v>2021</v>
      </c>
      <c r="M55" s="151">
        <v>2022</v>
      </c>
    </row>
    <row r="56" spans="2:14" ht="13.5" thickBot="1" x14ac:dyDescent="0.25">
      <c r="B56" s="34" t="str">
        <f>IF(Contents!$B$8="English",B160,B108)</f>
        <v>Итого</v>
      </c>
      <c r="C56" s="119">
        <v>7759</v>
      </c>
      <c r="D56" s="119">
        <v>3741</v>
      </c>
      <c r="E56" s="119">
        <v>3040</v>
      </c>
      <c r="F56" s="119">
        <v>4900</v>
      </c>
      <c r="G56" s="119">
        <v>13335</v>
      </c>
      <c r="H56" s="119">
        <v>48554</v>
      </c>
      <c r="I56" s="119">
        <v>53681</v>
      </c>
      <c r="J56" s="119">
        <v>71617</v>
      </c>
      <c r="K56" s="119">
        <v>58840</v>
      </c>
      <c r="L56" s="119">
        <v>87233</v>
      </c>
      <c r="M56" s="430">
        <v>84545.503174530997</v>
      </c>
    </row>
    <row r="57" spans="2:14" x14ac:dyDescent="0.2">
      <c r="B57" s="2" t="str">
        <f>IF(Contents!$B$8="English",B161,B109)</f>
        <v>* информация представлена на последнюю дату каждого отчетного периода</v>
      </c>
    </row>
    <row r="58" spans="2:14" x14ac:dyDescent="0.2">
      <c r="B58" s="2" t="str">
        <f>IF(Contents!$B$8="English",B162,B110)</f>
        <v>** расчет произведен на основе срешневзвешенной стоимости акций на последний торговый день отчетного периода</v>
      </c>
    </row>
    <row r="60" spans="2:14" x14ac:dyDescent="0.2">
      <c r="B60" s="129"/>
    </row>
    <row r="61" spans="2:14" x14ac:dyDescent="0.2">
      <c r="B61" s="124"/>
    </row>
    <row r="62" spans="2:14" s="51" customFormat="1" x14ac:dyDescent="0.2">
      <c r="B62" s="130" t="s">
        <v>447</v>
      </c>
      <c r="E62" s="187"/>
    </row>
    <row r="63" spans="2:14" s="51" customFormat="1" x14ac:dyDescent="0.2">
      <c r="B63" s="125" t="s">
        <v>96</v>
      </c>
      <c r="E63" s="187"/>
    </row>
    <row r="64" spans="2:14" s="51" customFormat="1" x14ac:dyDescent="0.2">
      <c r="B64" s="130" t="s">
        <v>50</v>
      </c>
      <c r="E64" s="187"/>
    </row>
    <row r="65" spans="2:5" s="51" customFormat="1" x14ac:dyDescent="0.2">
      <c r="B65" s="125" t="s">
        <v>51</v>
      </c>
      <c r="E65" s="187"/>
    </row>
    <row r="66" spans="2:5" s="51" customFormat="1" ht="25.5" x14ac:dyDescent="0.2">
      <c r="B66" s="125" t="s">
        <v>53</v>
      </c>
      <c r="E66" s="187"/>
    </row>
    <row r="67" spans="2:5" s="51" customFormat="1" x14ac:dyDescent="0.2">
      <c r="B67" s="125"/>
      <c r="E67" s="187"/>
    </row>
    <row r="68" spans="2:5" s="51" customFormat="1" x14ac:dyDescent="0.2">
      <c r="B68" s="129" t="s">
        <v>398</v>
      </c>
      <c r="E68" s="187"/>
    </row>
    <row r="69" spans="2:5" s="51" customFormat="1" x14ac:dyDescent="0.2">
      <c r="B69" s="126"/>
      <c r="E69" s="187"/>
    </row>
    <row r="70" spans="2:5" s="51" customFormat="1" x14ac:dyDescent="0.2">
      <c r="B70" s="126" t="s">
        <v>41</v>
      </c>
      <c r="E70" s="187"/>
    </row>
    <row r="71" spans="2:5" s="51" customFormat="1" x14ac:dyDescent="0.2">
      <c r="B71" s="127" t="s">
        <v>42</v>
      </c>
      <c r="E71" s="187"/>
    </row>
    <row r="72" spans="2:5" s="51" customFormat="1" x14ac:dyDescent="0.2">
      <c r="B72" s="127" t="s">
        <v>43</v>
      </c>
      <c r="E72" s="187"/>
    </row>
    <row r="73" spans="2:5" s="51" customFormat="1" x14ac:dyDescent="0.2">
      <c r="B73" s="127" t="s">
        <v>44</v>
      </c>
      <c r="E73" s="187"/>
    </row>
    <row r="74" spans="2:5" s="51" customFormat="1" x14ac:dyDescent="0.2">
      <c r="B74" s="126" t="s">
        <v>45</v>
      </c>
      <c r="E74" s="187"/>
    </row>
    <row r="75" spans="2:5" s="51" customFormat="1" x14ac:dyDescent="0.2">
      <c r="B75" s="127" t="s">
        <v>42</v>
      </c>
      <c r="E75" s="187"/>
    </row>
    <row r="76" spans="2:5" s="51" customFormat="1" x14ac:dyDescent="0.2">
      <c r="B76" s="127" t="s">
        <v>46</v>
      </c>
      <c r="E76" s="187"/>
    </row>
    <row r="77" spans="2:5" s="51" customFormat="1" x14ac:dyDescent="0.2">
      <c r="B77" s="127" t="s">
        <v>44</v>
      </c>
      <c r="E77" s="187"/>
    </row>
    <row r="78" spans="2:5" s="51" customFormat="1" x14ac:dyDescent="0.2">
      <c r="B78" s="126" t="s">
        <v>47</v>
      </c>
      <c r="E78" s="187"/>
    </row>
    <row r="79" spans="2:5" s="51" customFormat="1" x14ac:dyDescent="0.2">
      <c r="B79" s="127" t="s">
        <v>42</v>
      </c>
      <c r="E79" s="187"/>
    </row>
    <row r="80" spans="2:5" s="51" customFormat="1" x14ac:dyDescent="0.2">
      <c r="B80" s="127" t="s">
        <v>43</v>
      </c>
      <c r="E80" s="187"/>
    </row>
    <row r="81" spans="2:5" s="51" customFormat="1" x14ac:dyDescent="0.2">
      <c r="B81" s="127" t="s">
        <v>44</v>
      </c>
      <c r="E81" s="187"/>
    </row>
    <row r="82" spans="2:5" s="51" customFormat="1" x14ac:dyDescent="0.2">
      <c r="B82" s="126" t="s">
        <v>48</v>
      </c>
      <c r="E82" s="187"/>
    </row>
    <row r="83" spans="2:5" s="51" customFormat="1" x14ac:dyDescent="0.2">
      <c r="B83" s="127" t="s">
        <v>42</v>
      </c>
      <c r="E83" s="187"/>
    </row>
    <row r="84" spans="2:5" s="51" customFormat="1" x14ac:dyDescent="0.2">
      <c r="B84" s="127" t="s">
        <v>43</v>
      </c>
      <c r="E84" s="187"/>
    </row>
    <row r="85" spans="2:5" s="51" customFormat="1" x14ac:dyDescent="0.2">
      <c r="B85" s="127" t="s">
        <v>44</v>
      </c>
      <c r="E85" s="187"/>
    </row>
    <row r="86" spans="2:5" s="51" customFormat="1" x14ac:dyDescent="0.2">
      <c r="B86" s="128"/>
      <c r="E86" s="187"/>
    </row>
    <row r="87" spans="2:5" s="51" customFormat="1" x14ac:dyDescent="0.2">
      <c r="B87" s="129" t="s">
        <v>399</v>
      </c>
      <c r="E87" s="187"/>
    </row>
    <row r="88" spans="2:5" s="51" customFormat="1" x14ac:dyDescent="0.2">
      <c r="B88" s="129"/>
      <c r="E88" s="187"/>
    </row>
    <row r="89" spans="2:5" s="51" customFormat="1" x14ac:dyDescent="0.2">
      <c r="B89" s="126" t="s">
        <v>41</v>
      </c>
      <c r="E89" s="187"/>
    </row>
    <row r="90" spans="2:5" s="51" customFormat="1" x14ac:dyDescent="0.2">
      <c r="B90" s="127" t="s">
        <v>42</v>
      </c>
      <c r="E90" s="187"/>
    </row>
    <row r="91" spans="2:5" s="51" customFormat="1" x14ac:dyDescent="0.2">
      <c r="B91" s="127" t="s">
        <v>43</v>
      </c>
      <c r="E91" s="187"/>
    </row>
    <row r="92" spans="2:5" s="51" customFormat="1" x14ac:dyDescent="0.2">
      <c r="B92" s="127" t="s">
        <v>44</v>
      </c>
      <c r="E92" s="187"/>
    </row>
    <row r="93" spans="2:5" s="51" customFormat="1" x14ac:dyDescent="0.2">
      <c r="B93" s="126" t="s">
        <v>45</v>
      </c>
      <c r="E93" s="187"/>
    </row>
    <row r="94" spans="2:5" s="51" customFormat="1" x14ac:dyDescent="0.2">
      <c r="B94" s="127" t="s">
        <v>42</v>
      </c>
      <c r="E94" s="187"/>
    </row>
    <row r="95" spans="2:5" s="51" customFormat="1" x14ac:dyDescent="0.2">
      <c r="B95" s="127" t="s">
        <v>46</v>
      </c>
      <c r="E95" s="187"/>
    </row>
    <row r="96" spans="2:5" s="51" customFormat="1" x14ac:dyDescent="0.2">
      <c r="B96" s="127" t="s">
        <v>44</v>
      </c>
      <c r="E96" s="187"/>
    </row>
    <row r="97" spans="2:11" s="51" customFormat="1" x14ac:dyDescent="0.2">
      <c r="B97" s="126" t="s">
        <v>47</v>
      </c>
      <c r="E97" s="187"/>
    </row>
    <row r="98" spans="2:11" s="51" customFormat="1" x14ac:dyDescent="0.2">
      <c r="B98" s="127" t="s">
        <v>42</v>
      </c>
      <c r="E98" s="187"/>
    </row>
    <row r="99" spans="2:11" s="51" customFormat="1" x14ac:dyDescent="0.2">
      <c r="B99" s="127" t="s">
        <v>43</v>
      </c>
      <c r="E99" s="187"/>
    </row>
    <row r="100" spans="2:11" s="51" customFormat="1" x14ac:dyDescent="0.2">
      <c r="B100" s="127" t="s">
        <v>44</v>
      </c>
      <c r="E100" s="187"/>
    </row>
    <row r="101" spans="2:11" s="51" customFormat="1" x14ac:dyDescent="0.2">
      <c r="B101" s="126" t="s">
        <v>48</v>
      </c>
      <c r="E101" s="187"/>
    </row>
    <row r="102" spans="2:11" s="51" customFormat="1" x14ac:dyDescent="0.2">
      <c r="B102" s="127" t="s">
        <v>42</v>
      </c>
      <c r="E102" s="187"/>
    </row>
    <row r="103" spans="2:11" s="51" customFormat="1" x14ac:dyDescent="0.2">
      <c r="B103" s="127" t="s">
        <v>43</v>
      </c>
      <c r="E103" s="187"/>
    </row>
    <row r="104" spans="2:11" s="51" customFormat="1" x14ac:dyDescent="0.2">
      <c r="B104" s="127" t="s">
        <v>44</v>
      </c>
      <c r="E104" s="187"/>
    </row>
    <row r="105" spans="2:11" s="51" customFormat="1" x14ac:dyDescent="0.2">
      <c r="B105" s="128"/>
      <c r="E105" s="187"/>
    </row>
    <row r="106" spans="2:11" s="51" customFormat="1" x14ac:dyDescent="0.2">
      <c r="B106" s="129" t="s">
        <v>400</v>
      </c>
      <c r="E106" s="187"/>
    </row>
    <row r="107" spans="2:11" s="51" customFormat="1" x14ac:dyDescent="0.2">
      <c r="B107" s="343"/>
      <c r="C107" s="31"/>
      <c r="D107" s="31"/>
      <c r="E107" s="92"/>
      <c r="F107" s="31"/>
      <c r="G107" s="31"/>
      <c r="H107" s="31"/>
      <c r="I107" s="31"/>
      <c r="J107" s="31"/>
      <c r="K107" s="31"/>
    </row>
    <row r="108" spans="2:11" s="51" customFormat="1" x14ac:dyDescent="0.2">
      <c r="B108" s="126" t="s">
        <v>40</v>
      </c>
      <c r="E108" s="187"/>
    </row>
    <row r="109" spans="2:11" s="51" customFormat="1" x14ac:dyDescent="0.2">
      <c r="B109" s="128" t="s">
        <v>49</v>
      </c>
      <c r="E109" s="187"/>
    </row>
    <row r="110" spans="2:11" s="51" customFormat="1" x14ac:dyDescent="0.2">
      <c r="B110" s="128" t="s">
        <v>370</v>
      </c>
      <c r="E110" s="187"/>
    </row>
    <row r="111" spans="2:11" s="51" customFormat="1" x14ac:dyDescent="0.2">
      <c r="B111" s="128"/>
      <c r="E111" s="187"/>
    </row>
    <row r="112" spans="2:11" s="51" customFormat="1" x14ac:dyDescent="0.2">
      <c r="B112" s="128"/>
      <c r="E112" s="187"/>
    </row>
    <row r="113" spans="2:5" s="51" customFormat="1" x14ac:dyDescent="0.2">
      <c r="B113" s="128"/>
      <c r="E113" s="187"/>
    </row>
    <row r="114" spans="2:5" s="51" customFormat="1" x14ac:dyDescent="0.2">
      <c r="B114" s="128" t="s">
        <v>159</v>
      </c>
      <c r="E114" s="187"/>
    </row>
    <row r="115" spans="2:5" s="51" customFormat="1" x14ac:dyDescent="0.2">
      <c r="B115" s="128" t="s">
        <v>160</v>
      </c>
      <c r="E115" s="187"/>
    </row>
    <row r="116" spans="2:5" s="51" customFormat="1" x14ac:dyDescent="0.2">
      <c r="B116" s="128" t="s">
        <v>161</v>
      </c>
      <c r="E116" s="187"/>
    </row>
    <row r="117" spans="2:5" s="51" customFormat="1" x14ac:dyDescent="0.2">
      <c r="B117" s="128" t="s">
        <v>162</v>
      </c>
      <c r="E117" s="187"/>
    </row>
    <row r="118" spans="2:5" s="51" customFormat="1" x14ac:dyDescent="0.2">
      <c r="B118" s="128" t="s">
        <v>168</v>
      </c>
      <c r="E118" s="187"/>
    </row>
    <row r="119" spans="2:5" s="51" customFormat="1" x14ac:dyDescent="0.2">
      <c r="B119" s="128"/>
      <c r="E119" s="187"/>
    </row>
    <row r="120" spans="2:5" s="51" customFormat="1" x14ac:dyDescent="0.2">
      <c r="B120" s="128" t="s">
        <v>401</v>
      </c>
      <c r="E120" s="187"/>
    </row>
    <row r="121" spans="2:5" s="51" customFormat="1" x14ac:dyDescent="0.2">
      <c r="B121" s="128"/>
      <c r="E121" s="187"/>
    </row>
    <row r="122" spans="2:5" s="51" customFormat="1" x14ac:dyDescent="0.2">
      <c r="B122" s="128" t="s">
        <v>169</v>
      </c>
      <c r="E122" s="187"/>
    </row>
    <row r="123" spans="2:5" s="51" customFormat="1" x14ac:dyDescent="0.2">
      <c r="B123" s="128" t="s">
        <v>163</v>
      </c>
      <c r="E123" s="187"/>
    </row>
    <row r="124" spans="2:5" s="51" customFormat="1" x14ac:dyDescent="0.2">
      <c r="B124" s="128" t="s">
        <v>164</v>
      </c>
      <c r="E124" s="187"/>
    </row>
    <row r="125" spans="2:5" s="51" customFormat="1" x14ac:dyDescent="0.2">
      <c r="B125" s="128" t="s">
        <v>165</v>
      </c>
      <c r="E125" s="187"/>
    </row>
    <row r="126" spans="2:5" s="51" customFormat="1" x14ac:dyDescent="0.2">
      <c r="B126" s="128" t="s">
        <v>170</v>
      </c>
      <c r="E126" s="187"/>
    </row>
    <row r="127" spans="2:5" s="51" customFormat="1" x14ac:dyDescent="0.2">
      <c r="B127" s="128" t="s">
        <v>163</v>
      </c>
      <c r="E127" s="187"/>
    </row>
    <row r="128" spans="2:5" s="51" customFormat="1" x14ac:dyDescent="0.2">
      <c r="B128" s="128" t="s">
        <v>164</v>
      </c>
      <c r="E128" s="187"/>
    </row>
    <row r="129" spans="2:5" s="51" customFormat="1" x14ac:dyDescent="0.2">
      <c r="B129" s="128" t="s">
        <v>165</v>
      </c>
      <c r="E129" s="187"/>
    </row>
    <row r="130" spans="2:5" s="51" customFormat="1" x14ac:dyDescent="0.2">
      <c r="B130" s="128" t="s">
        <v>171</v>
      </c>
      <c r="E130" s="187"/>
    </row>
    <row r="131" spans="2:5" s="51" customFormat="1" x14ac:dyDescent="0.2">
      <c r="B131" s="128" t="s">
        <v>163</v>
      </c>
      <c r="E131" s="187"/>
    </row>
    <row r="132" spans="2:5" s="51" customFormat="1" x14ac:dyDescent="0.2">
      <c r="B132" s="128" t="s">
        <v>164</v>
      </c>
      <c r="E132" s="187"/>
    </row>
    <row r="133" spans="2:5" s="51" customFormat="1" x14ac:dyDescent="0.2">
      <c r="B133" s="128" t="s">
        <v>165</v>
      </c>
      <c r="E133" s="187"/>
    </row>
    <row r="134" spans="2:5" s="51" customFormat="1" x14ac:dyDescent="0.2">
      <c r="B134" s="128" t="s">
        <v>172</v>
      </c>
      <c r="E134" s="187"/>
    </row>
    <row r="135" spans="2:5" s="51" customFormat="1" x14ac:dyDescent="0.2">
      <c r="B135" s="128" t="s">
        <v>163</v>
      </c>
      <c r="E135" s="187"/>
    </row>
    <row r="136" spans="2:5" s="51" customFormat="1" x14ac:dyDescent="0.2">
      <c r="B136" s="128" t="s">
        <v>164</v>
      </c>
      <c r="E136" s="187"/>
    </row>
    <row r="137" spans="2:5" s="51" customFormat="1" x14ac:dyDescent="0.2">
      <c r="B137" s="128" t="s">
        <v>165</v>
      </c>
      <c r="E137" s="187"/>
    </row>
    <row r="138" spans="2:5" s="51" customFormat="1" x14ac:dyDescent="0.2">
      <c r="B138" s="128"/>
      <c r="E138" s="187"/>
    </row>
    <row r="139" spans="2:5" s="51" customFormat="1" x14ac:dyDescent="0.2">
      <c r="B139" s="128" t="s">
        <v>403</v>
      </c>
      <c r="E139" s="187"/>
    </row>
    <row r="140" spans="2:5" s="51" customFormat="1" x14ac:dyDescent="0.2">
      <c r="B140" s="128"/>
      <c r="E140" s="187"/>
    </row>
    <row r="141" spans="2:5" s="51" customFormat="1" x14ac:dyDescent="0.2">
      <c r="B141" s="128" t="s">
        <v>169</v>
      </c>
      <c r="E141" s="187"/>
    </row>
    <row r="142" spans="2:5" s="51" customFormat="1" x14ac:dyDescent="0.2">
      <c r="B142" s="128" t="s">
        <v>163</v>
      </c>
      <c r="E142" s="187"/>
    </row>
    <row r="143" spans="2:5" s="51" customFormat="1" x14ac:dyDescent="0.2">
      <c r="B143" s="128" t="s">
        <v>164</v>
      </c>
      <c r="E143" s="187"/>
    </row>
    <row r="144" spans="2:5" s="51" customFormat="1" x14ac:dyDescent="0.2">
      <c r="B144" s="128" t="s">
        <v>165</v>
      </c>
      <c r="E144" s="187"/>
    </row>
    <row r="145" spans="2:5" s="51" customFormat="1" x14ac:dyDescent="0.2">
      <c r="B145" s="128" t="s">
        <v>170</v>
      </c>
      <c r="E145" s="187"/>
    </row>
    <row r="146" spans="2:5" s="51" customFormat="1" x14ac:dyDescent="0.2">
      <c r="B146" s="128" t="s">
        <v>163</v>
      </c>
      <c r="E146" s="187"/>
    </row>
    <row r="147" spans="2:5" s="51" customFormat="1" x14ac:dyDescent="0.2">
      <c r="B147" s="128" t="s">
        <v>164</v>
      </c>
      <c r="E147" s="187"/>
    </row>
    <row r="148" spans="2:5" s="51" customFormat="1" x14ac:dyDescent="0.2">
      <c r="B148" s="128" t="s">
        <v>165</v>
      </c>
      <c r="E148" s="187"/>
    </row>
    <row r="149" spans="2:5" s="51" customFormat="1" x14ac:dyDescent="0.2">
      <c r="B149" s="128" t="s">
        <v>171</v>
      </c>
      <c r="E149" s="187"/>
    </row>
    <row r="150" spans="2:5" s="51" customFormat="1" x14ac:dyDescent="0.2">
      <c r="B150" s="128" t="s">
        <v>163</v>
      </c>
      <c r="E150" s="187"/>
    </row>
    <row r="151" spans="2:5" s="51" customFormat="1" x14ac:dyDescent="0.2">
      <c r="B151" s="128" t="s">
        <v>164</v>
      </c>
      <c r="E151" s="187"/>
    </row>
    <row r="152" spans="2:5" s="51" customFormat="1" x14ac:dyDescent="0.2">
      <c r="B152" s="128" t="s">
        <v>165</v>
      </c>
      <c r="E152" s="187"/>
    </row>
    <row r="153" spans="2:5" s="51" customFormat="1" x14ac:dyDescent="0.2">
      <c r="B153" s="128" t="s">
        <v>172</v>
      </c>
      <c r="E153" s="187"/>
    </row>
    <row r="154" spans="2:5" s="51" customFormat="1" x14ac:dyDescent="0.2">
      <c r="B154" s="128" t="s">
        <v>163</v>
      </c>
      <c r="E154" s="187"/>
    </row>
    <row r="155" spans="2:5" s="51" customFormat="1" x14ac:dyDescent="0.2">
      <c r="B155" s="128" t="s">
        <v>164</v>
      </c>
      <c r="E155" s="187"/>
    </row>
    <row r="156" spans="2:5" s="51" customFormat="1" x14ac:dyDescent="0.2">
      <c r="B156" s="128" t="s">
        <v>165</v>
      </c>
      <c r="E156" s="187"/>
    </row>
    <row r="157" spans="2:5" s="51" customFormat="1" x14ac:dyDescent="0.2">
      <c r="B157" s="128"/>
      <c r="E157" s="187"/>
    </row>
    <row r="158" spans="2:5" s="51" customFormat="1" x14ac:dyDescent="0.2">
      <c r="B158" s="128" t="s">
        <v>402</v>
      </c>
      <c r="E158" s="187"/>
    </row>
    <row r="159" spans="2:5" s="51" customFormat="1" x14ac:dyDescent="0.2">
      <c r="B159" s="128"/>
      <c r="E159" s="187"/>
    </row>
    <row r="160" spans="2:5" s="51" customFormat="1" x14ac:dyDescent="0.2">
      <c r="B160" s="128" t="s">
        <v>166</v>
      </c>
      <c r="E160" s="92"/>
    </row>
    <row r="161" spans="2:5" s="51" customFormat="1" x14ac:dyDescent="0.2">
      <c r="B161" s="128" t="s">
        <v>371</v>
      </c>
      <c r="E161" s="92"/>
    </row>
    <row r="162" spans="2:5" s="51" customFormat="1" x14ac:dyDescent="0.2">
      <c r="B162" s="128" t="s">
        <v>167</v>
      </c>
      <c r="E162" s="92"/>
    </row>
    <row r="163" spans="2:5" s="51" customFormat="1" x14ac:dyDescent="0.2">
      <c r="E163" s="92"/>
    </row>
    <row r="164" spans="2:5" s="51" customFormat="1" x14ac:dyDescent="0.2">
      <c r="E164" s="187"/>
    </row>
    <row r="165" spans="2:5" s="51" customFormat="1" x14ac:dyDescent="0.2">
      <c r="E165" s="187"/>
    </row>
    <row r="166" spans="2:5" s="51" customFormat="1" x14ac:dyDescent="0.2">
      <c r="E166" s="187"/>
    </row>
    <row r="167" spans="2:5" s="51" customFormat="1" x14ac:dyDescent="0.2">
      <c r="E167" s="187"/>
    </row>
    <row r="168" spans="2:5" s="51" customFormat="1" x14ac:dyDescent="0.2">
      <c r="E168" s="187"/>
    </row>
    <row r="169" spans="2:5" s="51" customFormat="1" x14ac:dyDescent="0.2">
      <c r="E169" s="187"/>
    </row>
    <row r="170" spans="2:5" s="51" customFormat="1" x14ac:dyDescent="0.2">
      <c r="E170" s="187"/>
    </row>
    <row r="171" spans="2:5" s="51" customFormat="1" x14ac:dyDescent="0.2">
      <c r="E171" s="187"/>
    </row>
    <row r="172" spans="2:5" s="51" customFormat="1" x14ac:dyDescent="0.2">
      <c r="E172" s="187"/>
    </row>
    <row r="173" spans="2:5" s="51" customFormat="1" x14ac:dyDescent="0.2">
      <c r="E173" s="187"/>
    </row>
    <row r="174" spans="2:5" s="51" customFormat="1" x14ac:dyDescent="0.2">
      <c r="E174" s="187"/>
    </row>
    <row r="175" spans="2:5" s="51" customFormat="1" x14ac:dyDescent="0.2">
      <c r="E175" s="187"/>
    </row>
    <row r="176" spans="2:5" s="51" customFormat="1" x14ac:dyDescent="0.2">
      <c r="E176" s="187"/>
    </row>
    <row r="177" spans="5:5" s="51" customFormat="1" x14ac:dyDescent="0.2">
      <c r="E177" s="187"/>
    </row>
    <row r="178" spans="5:5" s="51" customFormat="1" x14ac:dyDescent="0.2">
      <c r="E178" s="187"/>
    </row>
    <row r="179" spans="5:5" s="51" customFormat="1" x14ac:dyDescent="0.2">
      <c r="E179" s="187"/>
    </row>
    <row r="180" spans="5:5" s="51" customFormat="1" x14ac:dyDescent="0.2">
      <c r="E180" s="187"/>
    </row>
    <row r="181" spans="5:5" s="51" customFormat="1" x14ac:dyDescent="0.2">
      <c r="E181" s="187"/>
    </row>
    <row r="182" spans="5:5" s="51" customFormat="1" x14ac:dyDescent="0.2">
      <c r="E182" s="187"/>
    </row>
    <row r="183" spans="5:5" s="51" customFormat="1" x14ac:dyDescent="0.2">
      <c r="E183" s="187"/>
    </row>
    <row r="184" spans="5:5" s="51" customFormat="1" x14ac:dyDescent="0.2">
      <c r="E184" s="187"/>
    </row>
    <row r="185" spans="5:5" s="51" customFormat="1" x14ac:dyDescent="0.2">
      <c r="E185" s="187"/>
    </row>
    <row r="186" spans="5:5" s="51" customFormat="1" x14ac:dyDescent="0.2">
      <c r="E186" s="187"/>
    </row>
    <row r="187" spans="5:5" s="51" customFormat="1" x14ac:dyDescent="0.2">
      <c r="E187" s="187"/>
    </row>
    <row r="188" spans="5:5" s="51" customFormat="1" x14ac:dyDescent="0.2">
      <c r="E188" s="187"/>
    </row>
    <row r="189" spans="5:5" s="51" customFormat="1" x14ac:dyDescent="0.2">
      <c r="E189" s="187"/>
    </row>
    <row r="190" spans="5:5" s="51" customFormat="1" x14ac:dyDescent="0.2">
      <c r="E190" s="187"/>
    </row>
    <row r="191" spans="5:5" s="51" customFormat="1" x14ac:dyDescent="0.2">
      <c r="E191" s="187"/>
    </row>
    <row r="192" spans="5:5" s="51" customFormat="1" x14ac:dyDescent="0.2">
      <c r="E192" s="187"/>
    </row>
    <row r="193" spans="5:5" s="51" customFormat="1" x14ac:dyDescent="0.2">
      <c r="E193" s="187"/>
    </row>
    <row r="194" spans="5:5" s="51" customFormat="1" x14ac:dyDescent="0.2">
      <c r="E194" s="187"/>
    </row>
    <row r="195" spans="5:5" s="51" customFormat="1" x14ac:dyDescent="0.2">
      <c r="E195" s="187"/>
    </row>
    <row r="196" spans="5:5" s="51" customFormat="1" x14ac:dyDescent="0.2">
      <c r="E196" s="187"/>
    </row>
    <row r="197" spans="5:5" s="51" customFormat="1" x14ac:dyDescent="0.2">
      <c r="E197" s="187"/>
    </row>
    <row r="198" spans="5:5" s="51" customFormat="1" x14ac:dyDescent="0.2">
      <c r="E198" s="187"/>
    </row>
    <row r="199" spans="5:5" s="51" customFormat="1" x14ac:dyDescent="0.2">
      <c r="E199" s="187"/>
    </row>
    <row r="200" spans="5:5" s="51" customFormat="1" x14ac:dyDescent="0.2">
      <c r="E200" s="187"/>
    </row>
    <row r="201" spans="5:5" s="51" customFormat="1" x14ac:dyDescent="0.2">
      <c r="E201" s="187"/>
    </row>
    <row r="202" spans="5:5" s="51" customFormat="1" x14ac:dyDescent="0.2">
      <c r="E202" s="187"/>
    </row>
    <row r="203" spans="5:5" s="51" customFormat="1" x14ac:dyDescent="0.2">
      <c r="E203" s="187"/>
    </row>
    <row r="204" spans="5:5" s="51" customFormat="1" x14ac:dyDescent="0.2">
      <c r="E204" s="187"/>
    </row>
    <row r="205" spans="5:5" s="51" customFormat="1" x14ac:dyDescent="0.2">
      <c r="E205" s="187"/>
    </row>
    <row r="206" spans="5:5" s="51" customFormat="1" x14ac:dyDescent="0.2">
      <c r="E206" s="187"/>
    </row>
    <row r="207" spans="5:5" s="51" customFormat="1" x14ac:dyDescent="0.2">
      <c r="E207" s="187"/>
    </row>
    <row r="208" spans="5:5" s="51" customFormat="1" x14ac:dyDescent="0.2">
      <c r="E208" s="187"/>
    </row>
    <row r="209" spans="5:5" s="51" customFormat="1" x14ac:dyDescent="0.2">
      <c r="E209" s="187"/>
    </row>
    <row r="210" spans="5:5" s="51" customFormat="1" x14ac:dyDescent="0.2">
      <c r="E210" s="187"/>
    </row>
    <row r="211" spans="5:5" s="51" customFormat="1" x14ac:dyDescent="0.2">
      <c r="E211" s="187"/>
    </row>
    <row r="212" spans="5:5" s="51" customFormat="1" x14ac:dyDescent="0.2">
      <c r="E212" s="187"/>
    </row>
    <row r="213" spans="5:5" s="51" customFormat="1" x14ac:dyDescent="0.2">
      <c r="E213" s="187"/>
    </row>
    <row r="214" spans="5:5" s="51" customFormat="1" x14ac:dyDescent="0.2">
      <c r="E214" s="187"/>
    </row>
    <row r="215" spans="5:5" s="51" customFormat="1" x14ac:dyDescent="0.2">
      <c r="E215" s="187"/>
    </row>
    <row r="216" spans="5:5" s="51" customFormat="1" x14ac:dyDescent="0.2">
      <c r="E216" s="187"/>
    </row>
    <row r="217" spans="5:5" s="51" customFormat="1" x14ac:dyDescent="0.2">
      <c r="E217" s="187"/>
    </row>
    <row r="218" spans="5:5" s="51" customFormat="1" x14ac:dyDescent="0.2">
      <c r="E218" s="187"/>
    </row>
    <row r="219" spans="5:5" s="51" customFormat="1" x14ac:dyDescent="0.2">
      <c r="E219" s="187"/>
    </row>
    <row r="220" spans="5:5" s="51" customFormat="1" x14ac:dyDescent="0.2">
      <c r="E220" s="187"/>
    </row>
    <row r="221" spans="5:5" s="51" customFormat="1" x14ac:dyDescent="0.2">
      <c r="E221" s="187"/>
    </row>
    <row r="222" spans="5:5" s="51" customFormat="1" x14ac:dyDescent="0.2">
      <c r="E222" s="187"/>
    </row>
    <row r="223" spans="5:5" s="51" customFormat="1" x14ac:dyDescent="0.2">
      <c r="E223" s="187"/>
    </row>
    <row r="224" spans="5:5" s="51" customFormat="1" x14ac:dyDescent="0.2">
      <c r="E224" s="187"/>
    </row>
    <row r="225" spans="5:5" s="51" customFormat="1" x14ac:dyDescent="0.2">
      <c r="E225" s="187"/>
    </row>
    <row r="226" spans="5:5" s="51" customFormat="1" x14ac:dyDescent="0.2">
      <c r="E226" s="187"/>
    </row>
    <row r="227" spans="5:5" s="51" customFormat="1" x14ac:dyDescent="0.2">
      <c r="E227" s="187"/>
    </row>
    <row r="228" spans="5:5" s="51" customFormat="1" x14ac:dyDescent="0.2">
      <c r="E228" s="187"/>
    </row>
    <row r="229" spans="5:5" s="51" customFormat="1" x14ac:dyDescent="0.2">
      <c r="E229" s="187"/>
    </row>
    <row r="230" spans="5:5" s="51" customFormat="1" x14ac:dyDescent="0.2">
      <c r="E230" s="187"/>
    </row>
    <row r="231" spans="5:5" s="51" customFormat="1" x14ac:dyDescent="0.2">
      <c r="E231" s="187"/>
    </row>
    <row r="232" spans="5:5" s="51" customFormat="1" x14ac:dyDescent="0.2">
      <c r="E232" s="187"/>
    </row>
    <row r="233" spans="5:5" s="51" customFormat="1" x14ac:dyDescent="0.2">
      <c r="E233" s="187"/>
    </row>
    <row r="234" spans="5:5" s="51" customFormat="1" x14ac:dyDescent="0.2">
      <c r="E234" s="187"/>
    </row>
    <row r="235" spans="5:5" s="51" customFormat="1" x14ac:dyDescent="0.2">
      <c r="E235" s="187"/>
    </row>
    <row r="236" spans="5:5" s="51" customFormat="1" x14ac:dyDescent="0.2">
      <c r="E236" s="187"/>
    </row>
    <row r="237" spans="5:5" s="51" customFormat="1" x14ac:dyDescent="0.2">
      <c r="E237" s="187"/>
    </row>
    <row r="238" spans="5:5" s="51" customFormat="1" x14ac:dyDescent="0.2">
      <c r="E238" s="187"/>
    </row>
    <row r="239" spans="5:5" s="51" customFormat="1" x14ac:dyDescent="0.2">
      <c r="E239" s="187"/>
    </row>
    <row r="240" spans="5:5" s="51" customFormat="1" x14ac:dyDescent="0.2">
      <c r="E240" s="187"/>
    </row>
    <row r="241" spans="5:5" s="51" customFormat="1" x14ac:dyDescent="0.2">
      <c r="E241" s="187"/>
    </row>
    <row r="242" spans="5:5" s="51" customFormat="1" x14ac:dyDescent="0.2">
      <c r="E242" s="187"/>
    </row>
    <row r="243" spans="5:5" s="51" customFormat="1" x14ac:dyDescent="0.2">
      <c r="E243" s="187"/>
    </row>
    <row r="244" spans="5:5" s="51" customFormat="1" x14ac:dyDescent="0.2">
      <c r="E244" s="187"/>
    </row>
    <row r="245" spans="5:5" s="51" customFormat="1" x14ac:dyDescent="0.2">
      <c r="E245" s="187"/>
    </row>
    <row r="246" spans="5:5" s="51" customFormat="1" x14ac:dyDescent="0.2">
      <c r="E246" s="187"/>
    </row>
    <row r="247" spans="5:5" s="51" customFormat="1" x14ac:dyDescent="0.2">
      <c r="E247" s="187"/>
    </row>
    <row r="248" spans="5:5" s="51" customFormat="1" x14ac:dyDescent="0.2">
      <c r="E248" s="187"/>
    </row>
    <row r="249" spans="5:5" s="51" customFormat="1" x14ac:dyDescent="0.2">
      <c r="E249" s="187"/>
    </row>
    <row r="250" spans="5:5" s="51" customFormat="1" x14ac:dyDescent="0.2">
      <c r="E250" s="187"/>
    </row>
    <row r="251" spans="5:5" s="51" customFormat="1" x14ac:dyDescent="0.2">
      <c r="E251" s="187"/>
    </row>
    <row r="252" spans="5:5" s="51" customFormat="1" x14ac:dyDescent="0.2">
      <c r="E252" s="187"/>
    </row>
    <row r="253" spans="5:5" s="51" customFormat="1" x14ac:dyDescent="0.2">
      <c r="E253" s="187"/>
    </row>
    <row r="254" spans="5:5" s="51" customFormat="1" x14ac:dyDescent="0.2">
      <c r="E254" s="187"/>
    </row>
    <row r="255" spans="5:5" s="51" customFormat="1" x14ac:dyDescent="0.2">
      <c r="E255" s="187"/>
    </row>
    <row r="256" spans="5:5" s="51" customFormat="1" x14ac:dyDescent="0.2">
      <c r="E256" s="187"/>
    </row>
    <row r="257" spans="5:5" s="51" customFormat="1" x14ac:dyDescent="0.2">
      <c r="E257" s="187"/>
    </row>
    <row r="258" spans="5:5" s="51" customFormat="1" x14ac:dyDescent="0.2">
      <c r="E258" s="187"/>
    </row>
    <row r="259" spans="5:5" s="51" customFormat="1" x14ac:dyDescent="0.2">
      <c r="E259" s="187"/>
    </row>
    <row r="260" spans="5:5" s="51" customFormat="1" x14ac:dyDescent="0.2">
      <c r="E260" s="187"/>
    </row>
    <row r="261" spans="5:5" s="51" customFormat="1" x14ac:dyDescent="0.2">
      <c r="E261" s="187"/>
    </row>
    <row r="262" spans="5:5" s="51" customFormat="1" x14ac:dyDescent="0.2">
      <c r="E262" s="187"/>
    </row>
    <row r="263" spans="5:5" s="51" customFormat="1" x14ac:dyDescent="0.2">
      <c r="E263" s="187"/>
    </row>
    <row r="264" spans="5:5" s="51" customFormat="1" x14ac:dyDescent="0.2">
      <c r="E264" s="187"/>
    </row>
    <row r="265" spans="5:5" s="51" customFormat="1" x14ac:dyDescent="0.2">
      <c r="E265" s="187"/>
    </row>
    <row r="266" spans="5:5" s="51" customFormat="1" x14ac:dyDescent="0.2">
      <c r="E266" s="187"/>
    </row>
    <row r="267" spans="5:5" s="51" customFormat="1" x14ac:dyDescent="0.2">
      <c r="E267" s="187"/>
    </row>
  </sheetData>
  <sheetProtection formatCells="0" formatColumns="0" formatRows="0" insertColumns="0" insertRows="0" insertHyperlinks="0" deleteColumns="0" deleteRows="0" sort="0" autoFilter="0" pivotTables="0"/>
  <mergeCells count="5">
    <mergeCell ref="L5:M5"/>
    <mergeCell ref="B8:J8"/>
    <mergeCell ref="D5:E5"/>
    <mergeCell ref="D7:M7"/>
    <mergeCell ref="L6:M6"/>
  </mergeCells>
  <hyperlinks>
    <hyperlink ref="L5:M5" location="'Financial statements (IFRS)'!A1" display="'Financial statements (IFRS)'!A1"/>
    <hyperlink ref="D5:E5" location="Contents!A1" display="Contents!A1"/>
    <hyperlink ref="L6:M6" location="'Shareholder capital'!A1" display="'Shareholder capital'!A1"/>
  </hyperlinks>
  <pageMargins left="0.7" right="0.7" top="0.75" bottom="0.75" header="0.3" footer="0.3"/>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theme="3" tint="0.79998168889431442"/>
  </sheetPr>
  <dimension ref="A3:O367"/>
  <sheetViews>
    <sheetView view="pageBreakPreview" topLeftCell="A7" zoomScaleNormal="85" zoomScaleSheetLayoutView="100" workbookViewId="0">
      <pane xSplit="2" ySplit="8" topLeftCell="C15" activePane="bottomRight" state="frozen"/>
      <selection activeCell="A7" sqref="A7"/>
      <selection pane="topRight" activeCell="C7" sqref="C7"/>
      <selection pane="bottomLeft" activeCell="A10" sqref="A10"/>
      <selection pane="bottomRight" activeCell="F10" sqref="F10:G10"/>
    </sheetView>
  </sheetViews>
  <sheetFormatPr defaultColWidth="9.140625" defaultRowHeight="12.75" x14ac:dyDescent="0.2"/>
  <cols>
    <col min="1" max="1" width="2.7109375" style="31" customWidth="1"/>
    <col min="2" max="2" width="62.28515625" style="31" customWidth="1"/>
    <col min="3" max="3" width="17.42578125" style="31" customWidth="1"/>
    <col min="4" max="4" width="18.28515625" style="31" customWidth="1"/>
    <col min="5" max="6" width="18.5703125" style="31" customWidth="1"/>
    <col min="7" max="7" width="21.28515625" style="31" customWidth="1"/>
    <col min="8" max="16384" width="9.140625" style="31"/>
  </cols>
  <sheetData>
    <row r="3" spans="1:7" ht="19.5" customHeight="1" x14ac:dyDescent="0.2"/>
    <row r="5" spans="1:7" ht="11.25" customHeight="1" x14ac:dyDescent="0.2">
      <c r="A5" s="2"/>
      <c r="B5" s="88"/>
      <c r="C5" s="483" t="str">
        <f>IF(Contents!$B$8="English","Next","Вперед")</f>
        <v>Вперед</v>
      </c>
      <c r="D5" s="483"/>
      <c r="E5" s="86"/>
    </row>
    <row r="6" spans="1:7" ht="15.75" customHeight="1" x14ac:dyDescent="0.3">
      <c r="A6" s="2"/>
      <c r="B6" s="475" t="str">
        <f>IF(Contents!$B$8="English","Financial statements of PJSC Lenenergo (IFRS)","Финансовая отчетность ПАО «Ленэнерго» (МСФО)")</f>
        <v>Финансовая отчетность ПАО «Ленэнерго» (МСФО)</v>
      </c>
      <c r="C6" s="475"/>
      <c r="D6" s="475"/>
      <c r="E6" s="86"/>
    </row>
    <row r="7" spans="1:7" ht="15.75" customHeight="1" x14ac:dyDescent="0.3">
      <c r="A7" s="2"/>
      <c r="B7" s="297"/>
      <c r="C7" s="297"/>
      <c r="D7" s="297"/>
      <c r="E7" s="330"/>
    </row>
    <row r="8" spans="1:7" ht="15.75" customHeight="1" x14ac:dyDescent="0.3">
      <c r="A8" s="2"/>
      <c r="B8" s="297"/>
      <c r="C8" s="297"/>
      <c r="D8" s="297"/>
      <c r="E8" s="330"/>
    </row>
    <row r="9" spans="1:7" ht="32.25" customHeight="1" x14ac:dyDescent="0.3">
      <c r="A9" s="2"/>
      <c r="B9" s="297"/>
      <c r="C9" s="297"/>
      <c r="D9" s="448"/>
      <c r="E9" s="448"/>
    </row>
    <row r="10" spans="1:7" ht="15.75" customHeight="1" x14ac:dyDescent="0.3">
      <c r="A10" s="2"/>
      <c r="B10" s="334"/>
      <c r="C10" s="484" t="str">
        <f>IF(Contents!$B$8="English","Contents","Содержание")</f>
        <v>Содержание</v>
      </c>
      <c r="D10" s="484"/>
      <c r="F10" s="472" t="str">
        <f>IF(Contents!$B$8="English","Next","Вперед")</f>
        <v>Вперед</v>
      </c>
      <c r="G10" s="472"/>
    </row>
    <row r="11" spans="1:7" ht="15.75" customHeight="1" x14ac:dyDescent="0.3">
      <c r="A11" s="2"/>
      <c r="B11" s="380"/>
      <c r="C11" s="380"/>
      <c r="D11" s="380"/>
      <c r="F11" s="472" t="str">
        <f>IF(Contents!$B$8="English","Back","Назад")</f>
        <v>Назад</v>
      </c>
      <c r="G11" s="472"/>
    </row>
    <row r="12" spans="1:7" ht="17.25" customHeight="1" x14ac:dyDescent="0.2">
      <c r="A12" s="2"/>
      <c r="B12" s="88"/>
      <c r="C12" s="471" t="str">
        <f>IF(Contents!$B$8="English","Financial statements","Финансовая отчетность")</f>
        <v>Финансовая отчетность</v>
      </c>
      <c r="D12" s="471"/>
      <c r="E12" s="471"/>
      <c r="F12" s="471"/>
      <c r="G12" s="471"/>
    </row>
    <row r="13" spans="1:7" s="136" customFormat="1" x14ac:dyDescent="0.2">
      <c r="B13" s="144" t="str">
        <f>IF(Contents!$B$8="English",C58,B58)</f>
        <v>Консолидированный отчёт о финансовом положении (МСФО), тыс. руб.</v>
      </c>
    </row>
    <row r="14" spans="1:7" s="122" customFormat="1" x14ac:dyDescent="0.2">
      <c r="B14" s="150"/>
      <c r="C14" s="118">
        <v>2018</v>
      </c>
      <c r="D14" s="118">
        <v>2019</v>
      </c>
      <c r="E14" s="120">
        <v>2020</v>
      </c>
      <c r="F14" s="148">
        <v>2021</v>
      </c>
      <c r="G14" s="149">
        <v>2022</v>
      </c>
    </row>
    <row r="15" spans="1:7" x14ac:dyDescent="0.2">
      <c r="B15" s="199" t="str">
        <f>IF(Contents!$B$8="English","ASSETS",B60)</f>
        <v>АКТИВЫ</v>
      </c>
      <c r="C15" s="131"/>
      <c r="D15" s="131"/>
      <c r="E15" s="131"/>
      <c r="F15" s="131"/>
      <c r="G15" s="124"/>
    </row>
    <row r="16" spans="1:7" ht="13.5" thickBot="1" x14ac:dyDescent="0.25">
      <c r="B16" s="258" t="str">
        <f>IF(Contents!$B$8="English","Non-current assets",B61)</f>
        <v>Внеоборотные активы</v>
      </c>
      <c r="C16" s="347"/>
      <c r="D16" s="347"/>
      <c r="E16" s="347"/>
      <c r="F16" s="347"/>
      <c r="G16" s="372"/>
    </row>
    <row r="17" spans="2:15" ht="13.5" thickBot="1" x14ac:dyDescent="0.25">
      <c r="B17" s="259" t="str">
        <f>IF(Contents!$B$8="English","Total non-current assets",B62)</f>
        <v>Итого внеоборотные активы</v>
      </c>
      <c r="C17" s="135">
        <v>190432992</v>
      </c>
      <c r="D17" s="135">
        <v>199196363</v>
      </c>
      <c r="E17" s="449">
        <v>208318124</v>
      </c>
      <c r="F17" s="135">
        <v>216981860</v>
      </c>
      <c r="G17" s="450">
        <v>225771931</v>
      </c>
    </row>
    <row r="18" spans="2:15" x14ac:dyDescent="0.2">
      <c r="B18" s="428" t="str">
        <f>IF(Contents!$B$8="English","Current assets",B63)</f>
        <v>Оборотные активы</v>
      </c>
      <c r="C18" s="132"/>
      <c r="D18" s="132"/>
      <c r="E18" s="132"/>
      <c r="G18" s="124"/>
    </row>
    <row r="19" spans="2:15" ht="15" customHeight="1" thickBot="1" x14ac:dyDescent="0.25">
      <c r="B19" s="31" t="str">
        <f>IF(Contents!$B$8="English","Cash and cash equivalents",B64)</f>
        <v>Денежные средства и их эквиваленты</v>
      </c>
      <c r="C19" s="132">
        <v>6357421</v>
      </c>
      <c r="D19" s="132">
        <v>8301946</v>
      </c>
      <c r="E19" s="132">
        <v>1760327</v>
      </c>
      <c r="F19" s="132">
        <v>5275087</v>
      </c>
      <c r="G19" s="451">
        <v>14975881</v>
      </c>
      <c r="I19" s="427"/>
      <c r="J19" s="427"/>
      <c r="K19" s="427"/>
      <c r="L19" s="427"/>
      <c r="M19" s="427"/>
      <c r="N19" s="427"/>
      <c r="O19" s="427"/>
    </row>
    <row r="20" spans="2:15" ht="13.5" thickBot="1" x14ac:dyDescent="0.25">
      <c r="B20" s="259" t="str">
        <f>IF(Contents!$B$8="English","Total current assets",B65)</f>
        <v>Итого оборотные активы</v>
      </c>
      <c r="C20" s="135">
        <v>15389599</v>
      </c>
      <c r="D20" s="135">
        <v>15264758</v>
      </c>
      <c r="E20" s="135">
        <v>10475345</v>
      </c>
      <c r="F20" s="135">
        <v>17190067</v>
      </c>
      <c r="G20" s="450">
        <v>29310833</v>
      </c>
    </row>
    <row r="21" spans="2:15" ht="13.5" thickBot="1" x14ac:dyDescent="0.25">
      <c r="B21" s="259" t="str">
        <f>IF(Contents!$B$8="English","TOTAL ASSETS",B66)</f>
        <v>ИТОГО АКТИВЫ</v>
      </c>
      <c r="C21" s="135">
        <v>205822591</v>
      </c>
      <c r="D21" s="135">
        <v>214461121</v>
      </c>
      <c r="E21" s="135">
        <v>218793469</v>
      </c>
      <c r="F21" s="135">
        <v>234171927</v>
      </c>
      <c r="G21" s="450">
        <v>255082764</v>
      </c>
    </row>
    <row r="22" spans="2:15" x14ac:dyDescent="0.2">
      <c r="B22" s="199" t="str">
        <f>IF(Contents!$B$8="English","EQUITY AND LIABILITIES",B67)</f>
        <v>КАПИТАЛ И ОБЯЗАТЕЛЬСТВА</v>
      </c>
      <c r="C22" s="132"/>
      <c r="D22" s="132"/>
      <c r="E22" s="132"/>
      <c r="G22" s="124"/>
    </row>
    <row r="23" spans="2:15" x14ac:dyDescent="0.2">
      <c r="B23" s="91" t="str">
        <f>IF(Contents!$B$8="English","Total equity attributable to the owners of the
Company",B68)</f>
        <v>Итого капитал, причитающийся собственникам Компании</v>
      </c>
      <c r="C23" s="132">
        <v>129745467</v>
      </c>
      <c r="D23" s="132">
        <v>138161582</v>
      </c>
      <c r="E23" s="132">
        <v>144987268</v>
      </c>
      <c r="F23" s="132">
        <v>154607839</v>
      </c>
      <c r="G23" s="451">
        <v>165787223</v>
      </c>
    </row>
    <row r="24" spans="2:15" ht="13.5" thickBot="1" x14ac:dyDescent="0.25">
      <c r="B24" s="260" t="str">
        <f>IF(Contents!$B$8="English","Non-controlling interest",B69)</f>
        <v>Неконтролируемая доля участия</v>
      </c>
      <c r="C24" s="348">
        <v>214983</v>
      </c>
      <c r="D24" s="348">
        <v>213731</v>
      </c>
      <c r="E24" s="133" t="s">
        <v>15</v>
      </c>
      <c r="F24" s="347" t="s">
        <v>15</v>
      </c>
      <c r="G24" s="452" t="s">
        <v>15</v>
      </c>
    </row>
    <row r="25" spans="2:15" x14ac:dyDescent="0.2">
      <c r="B25" s="199" t="str">
        <f>IF(Contents!$B$8="English","TOTAL EQUITY",B70)</f>
        <v>Итого капитал</v>
      </c>
      <c r="C25" s="350">
        <v>129960450</v>
      </c>
      <c r="D25" s="350">
        <v>138375313</v>
      </c>
      <c r="E25" s="400">
        <v>144987268</v>
      </c>
      <c r="F25" s="400">
        <v>154607839</v>
      </c>
      <c r="G25" s="453">
        <v>165787223</v>
      </c>
    </row>
    <row r="26" spans="2:15" x14ac:dyDescent="0.2">
      <c r="B26" s="37" t="str">
        <f>IF(Contents!$B$8="English","Non-current liabilities",B71)</f>
        <v>Долгосрочные обязательства</v>
      </c>
      <c r="C26" s="132"/>
      <c r="D26" s="132"/>
      <c r="E26" s="132"/>
      <c r="G26" s="124"/>
    </row>
    <row r="27" spans="2:15" x14ac:dyDescent="0.2">
      <c r="B27" s="31" t="str">
        <f>IF(Contents!$B$8="English","Credits and loans",B72)</f>
        <v>Кредиты и займы</v>
      </c>
      <c r="C27" s="132">
        <v>31981030</v>
      </c>
      <c r="D27" s="132">
        <v>19042503</v>
      </c>
      <c r="E27" s="132">
        <v>27421294</v>
      </c>
      <c r="F27" s="132">
        <v>24890335</v>
      </c>
      <c r="G27" s="451">
        <v>11587676</v>
      </c>
    </row>
    <row r="28" spans="2:15" ht="13.5" thickBot="1" x14ac:dyDescent="0.25">
      <c r="B28" s="260" t="str">
        <f>IF(Contents!$B$8="English","Deferred tax liabilities",B73)</f>
        <v>Отложенные налоговые обязательства</v>
      </c>
      <c r="C28" s="348">
        <v>5902284</v>
      </c>
      <c r="D28" s="348">
        <v>4652087</v>
      </c>
      <c r="E28" s="348">
        <v>815590</v>
      </c>
      <c r="F28" s="132">
        <v>70206</v>
      </c>
      <c r="G28" s="451">
        <v>4633</v>
      </c>
    </row>
    <row r="29" spans="2:15" x14ac:dyDescent="0.2">
      <c r="B29" s="199" t="str">
        <f>IF(Contents!$B$8="English","Total non-current liabilities",B74)</f>
        <v>Итого долгосрочные обязательства</v>
      </c>
      <c r="C29" s="350">
        <v>42435989</v>
      </c>
      <c r="D29" s="350">
        <v>30381625</v>
      </c>
      <c r="E29" s="350">
        <v>34512294</v>
      </c>
      <c r="F29" s="400">
        <v>33169345</v>
      </c>
      <c r="G29" s="453">
        <v>23344971</v>
      </c>
    </row>
    <row r="30" spans="2:15" x14ac:dyDescent="0.2">
      <c r="B30" s="199" t="str">
        <f>IF(Contents!$B$8="English","Current liabilities",B75)</f>
        <v>Краткосрочные обязательства</v>
      </c>
      <c r="C30" s="132"/>
      <c r="D30" s="132"/>
      <c r="E30" s="132"/>
      <c r="G30" s="124"/>
    </row>
    <row r="31" spans="2:15" ht="13.5" thickBot="1" x14ac:dyDescent="0.25">
      <c r="B31" s="91" t="str">
        <f>IF(Contents!$B$8="English","Short-term credits and loans",B76)</f>
        <v>Краткосрочные кредиты и займы</v>
      </c>
      <c r="C31" s="132">
        <v>2556821</v>
      </c>
      <c r="D31" s="132">
        <v>11634164</v>
      </c>
      <c r="E31" s="132">
        <v>3267433</v>
      </c>
      <c r="F31" s="132">
        <v>7104408</v>
      </c>
      <c r="G31" s="451">
        <v>17926795</v>
      </c>
    </row>
    <row r="32" spans="2:15" ht="13.5" thickBot="1" x14ac:dyDescent="0.25">
      <c r="B32" s="259" t="str">
        <f>IF(Contents!$B$8="English","Total current liabilities",B77)</f>
        <v>Итого краткосрочные обязательства</v>
      </c>
      <c r="C32" s="135">
        <v>33426152</v>
      </c>
      <c r="D32" s="135">
        <v>45704183</v>
      </c>
      <c r="E32" s="135">
        <v>39293907</v>
      </c>
      <c r="F32" s="135">
        <v>46394743</v>
      </c>
      <c r="G32" s="450">
        <v>65950570</v>
      </c>
    </row>
    <row r="33" spans="2:7" ht="13.5" thickBot="1" x14ac:dyDescent="0.25">
      <c r="B33" s="259" t="str">
        <f>IF(Contents!$B$8="English","Total liabilities",B78)</f>
        <v>Итого обязательства</v>
      </c>
      <c r="C33" s="135">
        <v>75862141</v>
      </c>
      <c r="D33" s="135">
        <v>76085808</v>
      </c>
      <c r="E33" s="135">
        <v>73806201</v>
      </c>
      <c r="F33" s="135">
        <v>79564088</v>
      </c>
      <c r="G33" s="450">
        <v>89295541</v>
      </c>
    </row>
    <row r="34" spans="2:7" ht="13.5" thickBot="1" x14ac:dyDescent="0.25">
      <c r="B34" s="259" t="str">
        <f>IF(Contents!$B$8="English","Total equity and liabilities",B79)</f>
        <v>Итого собственный капитал и обязательства</v>
      </c>
      <c r="C34" s="135">
        <v>205822591</v>
      </c>
      <c r="D34" s="135">
        <v>214461121</v>
      </c>
      <c r="E34" s="135">
        <v>218793469</v>
      </c>
      <c r="F34" s="135">
        <v>234171927</v>
      </c>
      <c r="G34" s="450">
        <v>255082764</v>
      </c>
    </row>
    <row r="35" spans="2:7" x14ac:dyDescent="0.2">
      <c r="B35" s="31" t="str">
        <f>IF(Contents!$B$8="English",C80,B80)</f>
        <v xml:space="preserve">* Данные приведены с учетом ретроспективной корректировки данных </v>
      </c>
      <c r="C35" s="2"/>
      <c r="D35" s="2"/>
      <c r="E35" s="2"/>
    </row>
    <row r="36" spans="2:7" x14ac:dyDescent="0.2">
      <c r="C36" s="2"/>
      <c r="D36" s="2"/>
      <c r="E36" s="2"/>
    </row>
    <row r="37" spans="2:7" x14ac:dyDescent="0.2">
      <c r="C37" s="2"/>
      <c r="D37" s="2"/>
      <c r="E37" s="2"/>
    </row>
    <row r="38" spans="2:7" s="137" customFormat="1" x14ac:dyDescent="0.2">
      <c r="D38" s="364"/>
      <c r="E38" s="364"/>
    </row>
    <row r="39" spans="2:7" x14ac:dyDescent="0.2">
      <c r="B39" s="144" t="str">
        <f>IF(Contents!$B$8="English",C84,B84)</f>
        <v>Консолидированный отчёт о прибылях и убытках (МСФО), тыс. руб.</v>
      </c>
      <c r="C39" s="122"/>
      <c r="D39" s="36"/>
      <c r="E39" s="36"/>
    </row>
    <row r="40" spans="2:7" x14ac:dyDescent="0.2">
      <c r="B40" s="319"/>
      <c r="C40" s="148">
        <v>2018</v>
      </c>
      <c r="D40" s="148">
        <v>2019</v>
      </c>
      <c r="E40" s="148">
        <v>2020</v>
      </c>
      <c r="F40" s="148">
        <v>2021</v>
      </c>
      <c r="G40" s="149">
        <v>2022</v>
      </c>
    </row>
    <row r="41" spans="2:7" x14ac:dyDescent="0.2">
      <c r="G41" s="124"/>
    </row>
    <row r="42" spans="2:7" x14ac:dyDescent="0.2">
      <c r="B42" s="31" t="str">
        <f>IF(Contents!$B$8="English","Revenue",B87)</f>
        <v>Выручка</v>
      </c>
      <c r="C42" s="300">
        <v>77989911</v>
      </c>
      <c r="D42" s="300">
        <v>82665269</v>
      </c>
      <c r="E42" s="300">
        <v>82707517</v>
      </c>
      <c r="F42" s="300">
        <v>93505812</v>
      </c>
      <c r="G42" s="455">
        <v>95198351</v>
      </c>
    </row>
    <row r="43" spans="2:7" x14ac:dyDescent="0.2">
      <c r="B43" s="31" t="str">
        <f>IF(Contents!$B$8="English","Operating profit",B88)</f>
        <v>Операционная прибыль</v>
      </c>
      <c r="C43" s="132">
        <v>16171079</v>
      </c>
      <c r="D43" s="132">
        <v>17214143</v>
      </c>
      <c r="E43" s="132">
        <v>16606617</v>
      </c>
      <c r="F43" s="300">
        <v>16937280</v>
      </c>
      <c r="G43" s="455">
        <v>24452991</v>
      </c>
    </row>
    <row r="44" spans="2:7" x14ac:dyDescent="0.2">
      <c r="B44" s="31" t="str">
        <f>IF(Contents!$B$8="English","Financial income",B89)</f>
        <v>Финансовые доходы</v>
      </c>
      <c r="C44" s="132">
        <v>584443</v>
      </c>
      <c r="D44" s="132">
        <v>971166</v>
      </c>
      <c r="E44" s="132">
        <v>412776</v>
      </c>
      <c r="F44" s="300">
        <v>682191</v>
      </c>
      <c r="G44" s="455">
        <v>1479267</v>
      </c>
    </row>
    <row r="45" spans="2:7" x14ac:dyDescent="0.2">
      <c r="B45" s="31" t="str">
        <f>IF(Contents!$B$8="English","Financial expenses",B90)</f>
        <v>Финансовые расходы</v>
      </c>
      <c r="C45" s="138">
        <v>-2688671</v>
      </c>
      <c r="D45" s="138">
        <v>-2802070</v>
      </c>
      <c r="E45" s="138">
        <v>-2110966</v>
      </c>
      <c r="F45" s="138">
        <v>-1009510</v>
      </c>
      <c r="G45" s="456">
        <v>-1995177</v>
      </c>
    </row>
    <row r="46" spans="2:7" x14ac:dyDescent="0.2">
      <c r="B46" s="37" t="str">
        <f>IF(Contents!$B$8="English","Profit before tax",B91)</f>
        <v>Прибыль до налогообложения</v>
      </c>
      <c r="C46" s="140">
        <v>14066851</v>
      </c>
      <c r="D46" s="140">
        <v>15383239</v>
      </c>
      <c r="E46" s="140">
        <v>14908427</v>
      </c>
      <c r="F46" s="140">
        <v>16519961</v>
      </c>
      <c r="G46" s="457">
        <v>23937081</v>
      </c>
    </row>
    <row r="47" spans="2:7" x14ac:dyDescent="0.2">
      <c r="B47" s="274" t="s">
        <v>226</v>
      </c>
      <c r="C47" s="132">
        <v>28406482</v>
      </c>
      <c r="D47" s="132">
        <v>34148913</v>
      </c>
      <c r="E47" s="132">
        <v>34928663</v>
      </c>
      <c r="F47" s="300">
        <v>42446677</v>
      </c>
      <c r="G47" s="455">
        <v>46073213</v>
      </c>
    </row>
    <row r="48" spans="2:7" x14ac:dyDescent="0.2">
      <c r="B48" s="37" t="str">
        <f>IF(Contents!$B$8="English","Net profit",B93)</f>
        <v>Чистая прибыль</v>
      </c>
      <c r="C48" s="140">
        <v>10600488</v>
      </c>
      <c r="D48" s="140">
        <v>11960743</v>
      </c>
      <c r="E48" s="140">
        <v>12003540</v>
      </c>
      <c r="F48" s="140">
        <v>13187814</v>
      </c>
      <c r="G48" s="457">
        <v>19863715</v>
      </c>
    </row>
    <row r="49" spans="2:7" x14ac:dyDescent="0.2">
      <c r="B49" s="31" t="str">
        <f>IF(Contents!$B$8="English","due to:",B94)</f>
        <v>Причитающаяся:</v>
      </c>
      <c r="C49" s="139"/>
      <c r="D49" s="139"/>
      <c r="E49" s="139"/>
      <c r="F49" s="300"/>
      <c r="G49" s="124"/>
    </row>
    <row r="50" spans="2:7" x14ac:dyDescent="0.2">
      <c r="B50" s="31" t="str">
        <f>IF(Contents!$B$8="English","Company's owners",B95)</f>
        <v>Собственникам Компании</v>
      </c>
      <c r="C50" s="138">
        <v>10580938</v>
      </c>
      <c r="D50" s="138">
        <v>11961995</v>
      </c>
      <c r="E50" s="138">
        <v>12004739</v>
      </c>
      <c r="F50" s="300">
        <v>13187814</v>
      </c>
      <c r="G50" s="455">
        <v>19863715</v>
      </c>
    </row>
    <row r="51" spans="2:7" x14ac:dyDescent="0.2">
      <c r="B51" s="31" t="str">
        <f>IF(Contents!$B$8="English","Holders of non-controlling shares",B96)</f>
        <v>Держателям неконтролирующих долей</v>
      </c>
      <c r="C51" s="138">
        <v>19550</v>
      </c>
      <c r="D51" s="138">
        <v>-1252</v>
      </c>
      <c r="E51" s="138">
        <v>-1199</v>
      </c>
      <c r="F51" s="131" t="s">
        <v>15</v>
      </c>
      <c r="G51" s="458" t="s">
        <v>15</v>
      </c>
    </row>
    <row r="52" spans="2:7" ht="23.25" customHeight="1" thickBot="1" x14ac:dyDescent="0.25">
      <c r="B52" s="260" t="str">
        <f>IF(Contents!$B$8="English","Earnings per share",B97)</f>
        <v>Прибыль на привилегированную акцию - базовая и разводненная (в руб.)</v>
      </c>
      <c r="C52" s="141">
        <v>1.23</v>
      </c>
      <c r="D52" s="141">
        <v>1.39</v>
      </c>
      <c r="E52" s="141">
        <v>1.4</v>
      </c>
      <c r="F52" s="349">
        <v>1.54</v>
      </c>
      <c r="G52" s="372">
        <v>2.3199999999999998</v>
      </c>
    </row>
    <row r="53" spans="2:7" x14ac:dyDescent="0.2">
      <c r="B53" s="324" t="str">
        <f>IF(Contents!$B$8="English","Amortization",B98)</f>
        <v>Амортизация</v>
      </c>
      <c r="C53" s="142">
        <v>11941423</v>
      </c>
      <c r="D53" s="123">
        <v>12091789</v>
      </c>
      <c r="E53" s="123">
        <v>13317917</v>
      </c>
      <c r="F53" s="300">
        <v>14257065</v>
      </c>
      <c r="G53" s="455">
        <v>19057416</v>
      </c>
    </row>
    <row r="55" spans="2:7" ht="38.25" customHeight="1" x14ac:dyDescent="0.2">
      <c r="B55" s="511" t="str">
        <f>IF(Contents!$B$8="English",C100,B100)</f>
        <v>* Данные приведены с учетом ретроспективной корректировки данных 
** С 2018 года показатель EBITDA рассчитывается в отчетности в разделе "Информация по сегментам"</v>
      </c>
      <c r="C55" s="142"/>
      <c r="D55" s="142"/>
      <c r="E55" s="142"/>
      <c r="F55" s="142"/>
      <c r="G55" s="142"/>
    </row>
    <row r="56" spans="2:7" x14ac:dyDescent="0.2">
      <c r="B56" s="511"/>
    </row>
    <row r="57" spans="2:7" x14ac:dyDescent="0.2">
      <c r="B57" s="324"/>
    </row>
    <row r="58" spans="2:7" x14ac:dyDescent="0.2">
      <c r="B58" s="337" t="s">
        <v>36</v>
      </c>
      <c r="C58" s="51" t="s">
        <v>469</v>
      </c>
    </row>
    <row r="59" spans="2:7" x14ac:dyDescent="0.2">
      <c r="B59" s="337"/>
    </row>
    <row r="60" spans="2:7" x14ac:dyDescent="0.2">
      <c r="B60" s="337" t="s">
        <v>1</v>
      </c>
    </row>
    <row r="61" spans="2:7" x14ac:dyDescent="0.2">
      <c r="B61" s="333" t="s">
        <v>356</v>
      </c>
    </row>
    <row r="62" spans="2:7" x14ac:dyDescent="0.2">
      <c r="B62" s="333" t="s">
        <v>102</v>
      </c>
    </row>
    <row r="63" spans="2:7" x14ac:dyDescent="0.2">
      <c r="B63" s="333" t="s">
        <v>357</v>
      </c>
    </row>
    <row r="64" spans="2:7" x14ac:dyDescent="0.2">
      <c r="B64" s="337" t="s">
        <v>2</v>
      </c>
    </row>
    <row r="65" spans="2:6" x14ac:dyDescent="0.2">
      <c r="B65" s="351" t="s">
        <v>97</v>
      </c>
    </row>
    <row r="66" spans="2:6" x14ac:dyDescent="0.2">
      <c r="B66" s="351" t="s">
        <v>3</v>
      </c>
    </row>
    <row r="67" spans="2:6" x14ac:dyDescent="0.2">
      <c r="B67" s="351" t="s">
        <v>103</v>
      </c>
    </row>
    <row r="68" spans="2:6" x14ac:dyDescent="0.2">
      <c r="B68" s="351" t="s">
        <v>98</v>
      </c>
    </row>
    <row r="69" spans="2:6" x14ac:dyDescent="0.2">
      <c r="B69" s="337" t="s">
        <v>466</v>
      </c>
    </row>
    <row r="70" spans="2:6" x14ac:dyDescent="0.2">
      <c r="B70" s="351" t="s">
        <v>104</v>
      </c>
    </row>
    <row r="71" spans="2:6" x14ac:dyDescent="0.2">
      <c r="B71" s="351" t="s">
        <v>4</v>
      </c>
    </row>
    <row r="72" spans="2:6" x14ac:dyDescent="0.2">
      <c r="B72" s="337" t="s">
        <v>99</v>
      </c>
    </row>
    <row r="73" spans="2:6" x14ac:dyDescent="0.2">
      <c r="B73" s="337" t="s">
        <v>5</v>
      </c>
    </row>
    <row r="74" spans="2:6" x14ac:dyDescent="0.2">
      <c r="B74" s="351" t="s">
        <v>6</v>
      </c>
    </row>
    <row r="75" spans="2:6" x14ac:dyDescent="0.2">
      <c r="B75" s="351" t="s">
        <v>7</v>
      </c>
    </row>
    <row r="76" spans="2:6" x14ac:dyDescent="0.2">
      <c r="B76" s="337" t="s">
        <v>395</v>
      </c>
    </row>
    <row r="77" spans="2:6" x14ac:dyDescent="0.2">
      <c r="B77" s="351" t="s">
        <v>8</v>
      </c>
    </row>
    <row r="78" spans="2:6" x14ac:dyDescent="0.2">
      <c r="B78" s="351" t="s">
        <v>9</v>
      </c>
    </row>
    <row r="79" spans="2:6" x14ac:dyDescent="0.2">
      <c r="B79" s="351" t="s">
        <v>10</v>
      </c>
      <c r="C79" s="51"/>
      <c r="D79" s="51"/>
      <c r="E79" s="51"/>
      <c r="F79" s="51"/>
    </row>
    <row r="80" spans="2:6" x14ac:dyDescent="0.2">
      <c r="B80" s="337" t="s">
        <v>74</v>
      </c>
      <c r="C80" s="51" t="s">
        <v>467</v>
      </c>
      <c r="D80" s="51"/>
      <c r="E80" s="51"/>
      <c r="F80" s="51"/>
    </row>
    <row r="81" spans="2:6" x14ac:dyDescent="0.2">
      <c r="B81" s="337"/>
      <c r="C81" s="51"/>
      <c r="D81" s="51"/>
      <c r="E81" s="51"/>
      <c r="F81" s="51"/>
    </row>
    <row r="82" spans="2:6" x14ac:dyDescent="0.2">
      <c r="B82" s="352"/>
      <c r="C82" s="51"/>
      <c r="D82" s="51"/>
      <c r="E82" s="51"/>
      <c r="F82" s="51"/>
    </row>
    <row r="83" spans="2:6" x14ac:dyDescent="0.2">
      <c r="B83" s="337"/>
      <c r="C83" s="51"/>
      <c r="D83" s="51"/>
      <c r="E83" s="51"/>
      <c r="F83" s="51"/>
    </row>
    <row r="84" spans="2:6" x14ac:dyDescent="0.2">
      <c r="B84" s="337" t="s">
        <v>35</v>
      </c>
      <c r="C84" s="51" t="s">
        <v>468</v>
      </c>
      <c r="D84" s="51"/>
      <c r="E84" s="51"/>
      <c r="F84" s="51"/>
    </row>
    <row r="85" spans="2:6" x14ac:dyDescent="0.2">
      <c r="B85" s="337"/>
      <c r="C85" s="51"/>
      <c r="D85" s="51"/>
      <c r="E85" s="51"/>
      <c r="F85" s="51"/>
    </row>
    <row r="86" spans="2:6" x14ac:dyDescent="0.2">
      <c r="B86" s="337"/>
      <c r="C86" s="51"/>
      <c r="D86" s="51"/>
      <c r="E86" s="51"/>
      <c r="F86" s="51"/>
    </row>
    <row r="87" spans="2:6" x14ac:dyDescent="0.2">
      <c r="B87" s="337" t="s">
        <v>11</v>
      </c>
      <c r="C87" s="51"/>
      <c r="D87" s="51"/>
      <c r="E87" s="51"/>
      <c r="F87" s="51"/>
    </row>
    <row r="88" spans="2:6" x14ac:dyDescent="0.2">
      <c r="B88" s="337" t="s">
        <v>12</v>
      </c>
    </row>
    <row r="89" spans="2:6" x14ac:dyDescent="0.2">
      <c r="B89" s="337" t="s">
        <v>13</v>
      </c>
    </row>
    <row r="90" spans="2:6" x14ac:dyDescent="0.2">
      <c r="B90" s="337" t="s">
        <v>14</v>
      </c>
    </row>
    <row r="91" spans="2:6" x14ac:dyDescent="0.2">
      <c r="B91" s="337" t="s">
        <v>16</v>
      </c>
    </row>
    <row r="92" spans="2:6" x14ac:dyDescent="0.2">
      <c r="B92" s="337" t="s">
        <v>226</v>
      </c>
    </row>
    <row r="93" spans="2:6" x14ac:dyDescent="0.2">
      <c r="B93" s="337" t="s">
        <v>0</v>
      </c>
    </row>
    <row r="94" spans="2:6" x14ac:dyDescent="0.2">
      <c r="B94" s="337" t="s">
        <v>343</v>
      </c>
    </row>
    <row r="95" spans="2:6" x14ac:dyDescent="0.2">
      <c r="B95" s="337" t="s">
        <v>100</v>
      </c>
    </row>
    <row r="96" spans="2:6" x14ac:dyDescent="0.2">
      <c r="B96" s="337" t="s">
        <v>101</v>
      </c>
    </row>
    <row r="97" spans="2:3" x14ac:dyDescent="0.2">
      <c r="B97" s="337" t="s">
        <v>17</v>
      </c>
    </row>
    <row r="98" spans="2:3" ht="28.5" customHeight="1" x14ac:dyDescent="0.2">
      <c r="B98" s="337" t="s">
        <v>78</v>
      </c>
    </row>
    <row r="99" spans="2:3" x14ac:dyDescent="0.2">
      <c r="B99" s="337"/>
    </row>
    <row r="100" spans="2:3" s="51" customFormat="1" ht="114.75" x14ac:dyDescent="0.2">
      <c r="B100" s="345" t="s">
        <v>385</v>
      </c>
      <c r="C100" s="512" t="s">
        <v>470</v>
      </c>
    </row>
    <row r="101" spans="2:3" x14ac:dyDescent="0.2">
      <c r="B101" s="337"/>
    </row>
    <row r="102" spans="2:3" x14ac:dyDescent="0.2">
      <c r="B102" s="345"/>
    </row>
    <row r="103" spans="2:3" x14ac:dyDescent="0.2">
      <c r="B103" s="345"/>
    </row>
    <row r="104" spans="2:3" x14ac:dyDescent="0.2">
      <c r="B104" s="345"/>
    </row>
    <row r="105" spans="2:3" x14ac:dyDescent="0.2">
      <c r="B105" s="346"/>
    </row>
    <row r="106" spans="2:3" x14ac:dyDescent="0.2">
      <c r="B106" s="346"/>
    </row>
    <row r="107" spans="2:3" x14ac:dyDescent="0.2">
      <c r="B107" s="346"/>
    </row>
    <row r="108" spans="2:3" x14ac:dyDescent="0.2">
      <c r="B108" s="337"/>
    </row>
    <row r="109" spans="2:3" x14ac:dyDescent="0.2">
      <c r="B109" s="337"/>
    </row>
    <row r="110" spans="2:3" x14ac:dyDescent="0.2">
      <c r="B110" s="337"/>
    </row>
    <row r="111" spans="2:3" x14ac:dyDescent="0.2">
      <c r="B111" s="353"/>
    </row>
    <row r="112" spans="2:3" x14ac:dyDescent="0.2">
      <c r="B112" s="354"/>
    </row>
    <row r="113" spans="2:2" x14ac:dyDescent="0.2">
      <c r="B113" s="354"/>
    </row>
    <row r="114" spans="2:2" x14ac:dyDescent="0.2">
      <c r="B114" s="355"/>
    </row>
    <row r="115" spans="2:2" x14ac:dyDescent="0.2">
      <c r="B115" s="337"/>
    </row>
    <row r="116" spans="2:2" x14ac:dyDescent="0.2">
      <c r="B116" s="337"/>
    </row>
    <row r="117" spans="2:2" x14ac:dyDescent="0.2">
      <c r="B117" s="337"/>
    </row>
    <row r="118" spans="2:2" x14ac:dyDescent="0.2">
      <c r="B118" s="351"/>
    </row>
    <row r="119" spans="2:2" x14ac:dyDescent="0.2">
      <c r="B119" s="337"/>
    </row>
    <row r="120" spans="2:2" x14ac:dyDescent="0.2">
      <c r="B120" s="337"/>
    </row>
    <row r="121" spans="2:2" x14ac:dyDescent="0.2">
      <c r="B121" s="337"/>
    </row>
    <row r="122" spans="2:2" x14ac:dyDescent="0.2">
      <c r="B122" s="351"/>
    </row>
    <row r="123" spans="2:2" x14ac:dyDescent="0.2">
      <c r="B123" s="337"/>
    </row>
    <row r="124" spans="2:2" x14ac:dyDescent="0.2">
      <c r="B124" s="351"/>
    </row>
    <row r="125" spans="2:2" x14ac:dyDescent="0.2">
      <c r="B125" s="337"/>
    </row>
    <row r="126" spans="2:2" x14ac:dyDescent="0.2">
      <c r="B126" s="337"/>
    </row>
    <row r="127" spans="2:2" x14ac:dyDescent="0.2">
      <c r="B127" s="337"/>
    </row>
    <row r="128" spans="2:2" x14ac:dyDescent="0.2">
      <c r="B128" s="345"/>
    </row>
    <row r="129" spans="2:2" x14ac:dyDescent="0.2">
      <c r="B129" s="345"/>
    </row>
    <row r="130" spans="2:2" x14ac:dyDescent="0.2">
      <c r="B130" s="337"/>
    </row>
    <row r="131" spans="2:2" x14ac:dyDescent="0.2">
      <c r="B131" s="354"/>
    </row>
    <row r="132" spans="2:2" x14ac:dyDescent="0.2">
      <c r="B132" s="355"/>
    </row>
    <row r="133" spans="2:2" x14ac:dyDescent="0.2">
      <c r="B133" s="351"/>
    </row>
    <row r="134" spans="2:2" x14ac:dyDescent="0.2">
      <c r="B134" s="351"/>
    </row>
    <row r="135" spans="2:2" x14ac:dyDescent="0.2">
      <c r="B135" s="356"/>
    </row>
    <row r="136" spans="2:2" x14ac:dyDescent="0.2">
      <c r="B136" s="345"/>
    </row>
    <row r="137" spans="2:2" x14ac:dyDescent="0.2">
      <c r="B137" s="345"/>
    </row>
    <row r="138" spans="2:2" x14ac:dyDescent="0.2">
      <c r="B138" s="345"/>
    </row>
    <row r="139" spans="2:2" x14ac:dyDescent="0.2">
      <c r="B139" s="345"/>
    </row>
    <row r="140" spans="2:2" x14ac:dyDescent="0.2">
      <c r="B140" s="345"/>
    </row>
    <row r="141" spans="2:2" x14ac:dyDescent="0.2">
      <c r="B141" s="345"/>
    </row>
    <row r="142" spans="2:2" x14ac:dyDescent="0.2">
      <c r="B142" s="345"/>
    </row>
    <row r="143" spans="2:2" x14ac:dyDescent="0.2">
      <c r="B143" s="345"/>
    </row>
    <row r="144" spans="2:2" x14ac:dyDescent="0.2">
      <c r="B144" s="345"/>
    </row>
    <row r="145" spans="2:2" x14ac:dyDescent="0.2">
      <c r="B145" s="345"/>
    </row>
    <row r="146" spans="2:2" x14ac:dyDescent="0.2">
      <c r="B146" s="345"/>
    </row>
    <row r="147" spans="2:2" x14ac:dyDescent="0.2">
      <c r="B147" s="345"/>
    </row>
    <row r="148" spans="2:2" x14ac:dyDescent="0.2">
      <c r="B148" s="357"/>
    </row>
    <row r="149" spans="2:2" x14ac:dyDescent="0.2">
      <c r="B149" s="357"/>
    </row>
    <row r="150" spans="2:2" x14ac:dyDescent="0.2">
      <c r="B150" s="357"/>
    </row>
    <row r="151" spans="2:2" x14ac:dyDescent="0.2">
      <c r="B151" s="357"/>
    </row>
    <row r="152" spans="2:2" x14ac:dyDescent="0.2">
      <c r="B152" s="357"/>
    </row>
    <row r="153" spans="2:2" x14ac:dyDescent="0.2">
      <c r="B153" s="357"/>
    </row>
    <row r="154" spans="2:2" x14ac:dyDescent="0.2">
      <c r="B154" s="357"/>
    </row>
    <row r="155" spans="2:2" x14ac:dyDescent="0.2">
      <c r="B155" s="357"/>
    </row>
    <row r="156" spans="2:2" x14ac:dyDescent="0.2">
      <c r="B156" s="357"/>
    </row>
    <row r="157" spans="2:2" x14ac:dyDescent="0.2">
      <c r="B157" s="357"/>
    </row>
    <row r="158" spans="2:2" ht="13.5" thickBot="1" x14ac:dyDescent="0.25">
      <c r="B158" s="322"/>
    </row>
    <row r="159" spans="2:2" x14ac:dyDescent="0.2">
      <c r="B159" s="320"/>
    </row>
    <row r="160" spans="2:2" x14ac:dyDescent="0.2">
      <c r="B160" s="320"/>
    </row>
    <row r="161" spans="2:2" x14ac:dyDescent="0.2">
      <c r="B161" s="320"/>
    </row>
    <row r="162" spans="2:2" x14ac:dyDescent="0.2">
      <c r="B162" s="320"/>
    </row>
    <row r="163" spans="2:2" x14ac:dyDescent="0.2">
      <c r="B163" s="320"/>
    </row>
    <row r="164" spans="2:2" x14ac:dyDescent="0.2">
      <c r="B164" s="320"/>
    </row>
    <row r="165" spans="2:2" x14ac:dyDescent="0.2">
      <c r="B165" s="320"/>
    </row>
    <row r="167" spans="2:2" x14ac:dyDescent="0.2">
      <c r="B167" s="91"/>
    </row>
    <row r="168" spans="2:2" x14ac:dyDescent="0.2">
      <c r="B168" s="91"/>
    </row>
    <row r="169" spans="2:2" x14ac:dyDescent="0.2">
      <c r="B169" s="91"/>
    </row>
    <row r="170" spans="2:2" x14ac:dyDescent="0.2">
      <c r="B170" s="91"/>
    </row>
    <row r="171" spans="2:2" x14ac:dyDescent="0.2">
      <c r="B171" s="199"/>
    </row>
    <row r="172" spans="2:2" x14ac:dyDescent="0.2">
      <c r="B172" s="91"/>
    </row>
    <row r="173" spans="2:2" x14ac:dyDescent="0.2">
      <c r="B173" s="91"/>
    </row>
    <row r="174" spans="2:2" x14ac:dyDescent="0.2">
      <c r="B174" s="91"/>
    </row>
    <row r="175" spans="2:2" x14ac:dyDescent="0.2">
      <c r="B175" s="91"/>
    </row>
    <row r="176" spans="2:2" x14ac:dyDescent="0.2">
      <c r="B176" s="321"/>
    </row>
    <row r="177" spans="2:2" x14ac:dyDescent="0.2">
      <c r="B177" s="321"/>
    </row>
    <row r="178" spans="2:2" x14ac:dyDescent="0.2">
      <c r="B178" s="321"/>
    </row>
    <row r="179" spans="2:2" x14ac:dyDescent="0.2">
      <c r="B179" s="321"/>
    </row>
    <row r="180" spans="2:2" ht="13.5" thickBot="1" x14ac:dyDescent="0.25">
      <c r="B180" s="323"/>
    </row>
    <row r="181" spans="2:2" x14ac:dyDescent="0.2">
      <c r="B181" s="91"/>
    </row>
    <row r="182" spans="2:2" x14ac:dyDescent="0.2">
      <c r="B182" s="91"/>
    </row>
    <row r="183" spans="2:2" x14ac:dyDescent="0.2">
      <c r="B183" s="91"/>
    </row>
    <row r="184" spans="2:2" x14ac:dyDescent="0.2">
      <c r="B184" s="91"/>
    </row>
    <row r="185" spans="2:2" x14ac:dyDescent="0.2">
      <c r="B185" s="91"/>
    </row>
    <row r="186" spans="2:2" x14ac:dyDescent="0.2">
      <c r="B186" s="91"/>
    </row>
    <row r="187" spans="2:2" x14ac:dyDescent="0.2">
      <c r="B187" s="91"/>
    </row>
    <row r="188" spans="2:2" x14ac:dyDescent="0.2">
      <c r="B188" s="91"/>
    </row>
    <row r="189" spans="2:2" x14ac:dyDescent="0.2">
      <c r="B189" s="91"/>
    </row>
    <row r="190" spans="2:2" x14ac:dyDescent="0.2">
      <c r="B190" s="199"/>
    </row>
    <row r="191" spans="2:2" x14ac:dyDescent="0.2">
      <c r="B191" s="199"/>
    </row>
    <row r="192" spans="2:2" x14ac:dyDescent="0.2">
      <c r="B192" s="91"/>
    </row>
    <row r="193" spans="2:2" x14ac:dyDescent="0.2">
      <c r="B193" s="91"/>
    </row>
    <row r="194" spans="2:2" x14ac:dyDescent="0.2">
      <c r="B194" s="91"/>
    </row>
    <row r="195" spans="2:2" x14ac:dyDescent="0.2">
      <c r="B195" s="91"/>
    </row>
    <row r="196" spans="2:2" x14ac:dyDescent="0.2">
      <c r="B196" s="91"/>
    </row>
    <row r="197" spans="2:2" x14ac:dyDescent="0.2">
      <c r="B197" s="91"/>
    </row>
    <row r="198" spans="2:2" x14ac:dyDescent="0.2">
      <c r="B198" s="91"/>
    </row>
    <row r="199" spans="2:2" x14ac:dyDescent="0.2">
      <c r="B199" s="91"/>
    </row>
    <row r="200" spans="2:2" x14ac:dyDescent="0.2">
      <c r="B200" s="91"/>
    </row>
    <row r="201" spans="2:2" x14ac:dyDescent="0.2">
      <c r="B201" s="91"/>
    </row>
    <row r="202" spans="2:2" x14ac:dyDescent="0.2">
      <c r="B202" s="91"/>
    </row>
    <row r="203" spans="2:2" x14ac:dyDescent="0.2">
      <c r="B203" s="199"/>
    </row>
    <row r="204" spans="2:2" x14ac:dyDescent="0.2">
      <c r="B204" s="91"/>
    </row>
    <row r="364" spans="2:2" x14ac:dyDescent="0.2">
      <c r="B364" s="51"/>
    </row>
    <row r="365" spans="2:2" x14ac:dyDescent="0.2">
      <c r="B365" s="51"/>
    </row>
    <row r="366" spans="2:2" x14ac:dyDescent="0.2">
      <c r="B366" s="51"/>
    </row>
    <row r="367" spans="2:2" x14ac:dyDescent="0.2">
      <c r="B367" s="51"/>
    </row>
  </sheetData>
  <sheetProtection formatCells="0" formatColumns="0" formatRows="0" insertColumns="0" insertRows="0" insertHyperlinks="0" deleteColumns="0" deleteRows="0" sort="0" autoFilter="0" pivotTables="0"/>
  <mergeCells count="7">
    <mergeCell ref="B55:B56"/>
    <mergeCell ref="F10:G10"/>
    <mergeCell ref="C5:D5"/>
    <mergeCell ref="B6:D6"/>
    <mergeCell ref="F11:G11"/>
    <mergeCell ref="C12:G12"/>
    <mergeCell ref="C10:D10"/>
  </mergeCells>
  <hyperlinks>
    <hyperlink ref="C5:D5" location="'Financial statements (RAS)'!A1" display="'Financial statements (RAS)'!A1"/>
    <hyperlink ref="F10:G10" location="'Financial ratios'!A1" display="'Financial ratios'!A1"/>
    <hyperlink ref="F11:G11" location="'Share price quotes'!A1" display="'Share price quotes'!A1"/>
    <hyperlink ref="C10:D10" location="Contents!A1" display="Contents!A1"/>
  </hyperlinks>
  <pageMargins left="0.70866141732283472" right="0.70866141732283472" top="0.74803149606299213" bottom="0.74803149606299213" header="0.31496062992125984" footer="0.31496062992125984"/>
  <pageSetup paperSize="9" scale="37" fitToHeight="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5:I71"/>
  <sheetViews>
    <sheetView view="pageBreakPreview" zoomScale="85" zoomScaleNormal="85" zoomScaleSheetLayoutView="85" workbookViewId="0">
      <selection activeCell="K49" sqref="K49"/>
    </sheetView>
  </sheetViews>
  <sheetFormatPr defaultColWidth="9.140625" defaultRowHeight="12.75" x14ac:dyDescent="0.2"/>
  <cols>
    <col min="1" max="1" width="2.7109375" style="31" customWidth="1"/>
    <col min="2" max="2" width="39.5703125" style="31" customWidth="1"/>
    <col min="3" max="3" width="18.5703125" style="31" customWidth="1"/>
    <col min="4" max="4" width="16" style="31" customWidth="1"/>
    <col min="5" max="5" width="16.5703125" style="31" customWidth="1"/>
    <col min="6" max="6" width="17.5703125" style="31" customWidth="1"/>
    <col min="7" max="7" width="17.140625" style="31" customWidth="1"/>
    <col min="8" max="16384" width="9.140625" style="31"/>
  </cols>
  <sheetData>
    <row r="5" spans="1:9" ht="11.25" customHeight="1" x14ac:dyDescent="0.2">
      <c r="A5" s="2"/>
      <c r="B5" s="282"/>
      <c r="C5" s="459" t="str">
        <f>IF(Contents!$B$8="English","Contents","Содержание")</f>
        <v>Содержание</v>
      </c>
      <c r="F5" s="473" t="str">
        <f>IF(Contents!$B$8="English","Next","Вперед")</f>
        <v>Вперед</v>
      </c>
      <c r="G5" s="473"/>
    </row>
    <row r="6" spans="1:9" ht="11.25" customHeight="1" x14ac:dyDescent="0.2">
      <c r="A6" s="2"/>
      <c r="B6" s="381"/>
      <c r="F6" s="473" t="str">
        <f>IF(Contents!$B$8="English","Back","Назад")</f>
        <v>Назад</v>
      </c>
      <c r="G6" s="473"/>
    </row>
    <row r="7" spans="1:9" ht="15.75" customHeight="1" x14ac:dyDescent="0.3">
      <c r="A7" s="2"/>
      <c r="C7" s="186"/>
      <c r="D7" s="186"/>
      <c r="E7" s="186"/>
      <c r="F7" s="186"/>
      <c r="G7" s="186"/>
      <c r="H7" s="186"/>
      <c r="I7" s="186"/>
    </row>
    <row r="8" spans="1:9" ht="20.25" customHeight="1" x14ac:dyDescent="0.3">
      <c r="A8" s="2"/>
      <c r="B8" s="271"/>
      <c r="C8" s="475" t="str">
        <f>IF(Contents!$B$8="English","Financial ratios","Финансовые коэффициенты ")</f>
        <v xml:space="preserve">Финансовые коэффициенты </v>
      </c>
      <c r="D8" s="475"/>
      <c r="E8" s="475"/>
      <c r="F8" s="475"/>
      <c r="G8" s="475"/>
    </row>
    <row r="9" spans="1:9" s="136" customFormat="1" ht="15" x14ac:dyDescent="0.25">
      <c r="B9" s="275" t="str">
        <f>IF(Contents!$B$8="English","Company value to EBITDA",B41)</f>
        <v>Стоимость компании к EBITDA</v>
      </c>
    </row>
    <row r="10" spans="1:9" s="122" customFormat="1" x14ac:dyDescent="0.2">
      <c r="B10" s="270"/>
      <c r="C10" s="312">
        <v>2018</v>
      </c>
      <c r="D10" s="312">
        <v>2019</v>
      </c>
      <c r="E10" s="312">
        <v>2020</v>
      </c>
      <c r="F10" s="312">
        <v>2021</v>
      </c>
      <c r="G10" s="313">
        <v>2022</v>
      </c>
    </row>
    <row r="11" spans="1:9" x14ac:dyDescent="0.2">
      <c r="B11" s="274" t="str">
        <f>IF(Contents!$B$8="English","Capitalization, RUB mln",B43)</f>
        <v xml:space="preserve">Капитализация, млн руб.  </v>
      </c>
      <c r="C11" s="314">
        <f>'Share price quotes'!I56</f>
        <v>53681</v>
      </c>
      <c r="D11" s="314">
        <f>'Share price quotes'!J56</f>
        <v>71617</v>
      </c>
      <c r="E11" s="314">
        <f>'Share price quotes'!K56</f>
        <v>58840</v>
      </c>
      <c r="F11" s="314">
        <f>'Share price quotes'!L56</f>
        <v>87233</v>
      </c>
      <c r="G11" s="460">
        <f>'Share price quotes'!M56</f>
        <v>84545.503174530997</v>
      </c>
    </row>
    <row r="12" spans="1:9" x14ac:dyDescent="0.2">
      <c r="B12" s="274" t="str">
        <f>IF(Contents!$B$8="English","Net debt, RUB mln",B44)</f>
        <v xml:space="preserve">Чистый долг, млн руб.  </v>
      </c>
      <c r="C12" s="314">
        <f>('Financial statements (IFRS)'!C27+'Financial statements (IFRS)'!C31-'Financial statements (IFRS)'!C19)/1000</f>
        <v>28180.43</v>
      </c>
      <c r="D12" s="314">
        <f>('Financial statements (IFRS)'!D27+'Financial statements (IFRS)'!D31-'Financial statements (IFRS)'!D19)/1000</f>
        <v>22374.721000000001</v>
      </c>
      <c r="E12" s="314">
        <f>('Financial statements (IFRS)'!E27+'Financial statements (IFRS)'!E31-'Financial statements (IFRS)'!E19)/1000</f>
        <v>28928.400000000001</v>
      </c>
      <c r="F12" s="314">
        <f>('Financial statements (IFRS)'!F27+'Financial statements (IFRS)'!F31-'Financial statements (IFRS)'!F19)/1000</f>
        <v>26719.655999999999</v>
      </c>
      <c r="G12" s="460">
        <f>('Financial statements (IFRS)'!G27+'Financial statements (IFRS)'!G31-'Financial statements (IFRS)'!G19)/1000</f>
        <v>14538.59</v>
      </c>
    </row>
    <row r="13" spans="1:9" x14ac:dyDescent="0.2">
      <c r="B13" s="274" t="str">
        <f>IF(Contents!$B$8="English","EV, RUB mln",B45)</f>
        <v xml:space="preserve">EV, млн руб.  </v>
      </c>
      <c r="C13" s="314">
        <f>C11+C12-(('Financial statements (IFRS)'!C24)/1000)</f>
        <v>81646.447</v>
      </c>
      <c r="D13" s="314">
        <f>D11+D12-(('Financial statements (IFRS)'!D24)/1000)</f>
        <v>93777.99</v>
      </c>
      <c r="E13" s="314">
        <f>E11+E12</f>
        <v>87768.4</v>
      </c>
      <c r="F13" s="314">
        <f>F11+F12</f>
        <v>113952.656</v>
      </c>
      <c r="G13" s="460">
        <f>G11+G12</f>
        <v>99084.093174530994</v>
      </c>
    </row>
    <row r="14" spans="1:9" ht="15" x14ac:dyDescent="0.25">
      <c r="B14" s="275" t="s">
        <v>227</v>
      </c>
      <c r="C14" s="316">
        <f>C13/('Financial statements (IFRS)'!C47/1000)</f>
        <v>2.8742188842673304</v>
      </c>
      <c r="D14" s="316">
        <f>D13/('Financial statements (IFRS)'!D47/1000)</f>
        <v>2.7461486109382167</v>
      </c>
      <c r="E14" s="316">
        <f>E13/('Financial statements (IFRS)'!E47/1000)</f>
        <v>2.5127901402925152</v>
      </c>
      <c r="F14" s="316">
        <f>F13/('Financial statements (IFRS)'!F47/1000)</f>
        <v>2.6846072308557862</v>
      </c>
      <c r="G14" s="461">
        <f>G13/('Financial statements (IFRS)'!G47/1000)</f>
        <v>2.1505791917427377</v>
      </c>
    </row>
    <row r="15" spans="1:9" x14ac:dyDescent="0.2">
      <c r="B15" s="274"/>
      <c r="C15" s="315"/>
      <c r="D15" s="315"/>
      <c r="E15" s="314"/>
      <c r="F15" s="123"/>
    </row>
    <row r="16" spans="1:9" ht="15" x14ac:dyDescent="0.25">
      <c r="B16" s="275" t="str">
        <f>IF(Contents!$B$8="English","Company value to revenue",B49)</f>
        <v xml:space="preserve">Стоимость компании к выручке </v>
      </c>
      <c r="C16" s="315"/>
      <c r="D16" s="315"/>
      <c r="E16" s="315"/>
    </row>
    <row r="17" spans="2:7" x14ac:dyDescent="0.2">
      <c r="B17" s="270"/>
      <c r="C17" s="312">
        <v>2018</v>
      </c>
      <c r="D17" s="312">
        <v>2019</v>
      </c>
      <c r="E17" s="312">
        <v>2020</v>
      </c>
      <c r="F17" s="312">
        <v>2021</v>
      </c>
      <c r="G17" s="313">
        <v>2022</v>
      </c>
    </row>
    <row r="18" spans="2:7" x14ac:dyDescent="0.2">
      <c r="B18" s="276" t="str">
        <f>IF(Contents!$B$8="English","EV, RUB mln",B51)</f>
        <v xml:space="preserve">EV, млн руб.  </v>
      </c>
      <c r="C18" s="314">
        <f t="shared" ref="C18:F18" si="0">C13</f>
        <v>81646.447</v>
      </c>
      <c r="D18" s="314">
        <f t="shared" si="0"/>
        <v>93777.99</v>
      </c>
      <c r="E18" s="314">
        <f t="shared" si="0"/>
        <v>87768.4</v>
      </c>
      <c r="F18" s="314">
        <f t="shared" si="0"/>
        <v>113952.656</v>
      </c>
      <c r="G18" s="460">
        <f t="shared" ref="G18" si="1">G13</f>
        <v>99084.093174530994</v>
      </c>
    </row>
    <row r="19" spans="2:7" x14ac:dyDescent="0.2">
      <c r="B19" s="276" t="str">
        <f>IF(Contents!$B$8="English","Revenue, RUB mln",B52)</f>
        <v xml:space="preserve">Выручка, млн руб.  </v>
      </c>
      <c r="C19" s="314">
        <f>('Financial statements (IFRS)'!C42)/1000</f>
        <v>77989.910999999993</v>
      </c>
      <c r="D19" s="314">
        <f>('Financial statements (IFRS)'!D42)/1000</f>
        <v>82665.269</v>
      </c>
      <c r="E19" s="314">
        <f>('Financial statements (IFRS)'!E42)/1000</f>
        <v>82707.517000000007</v>
      </c>
      <c r="F19" s="314">
        <f>('Financial statements (IFRS)'!F42)/1000</f>
        <v>93505.812000000005</v>
      </c>
      <c r="G19" s="460">
        <f>('Financial statements (IFRS)'!G42)/1000</f>
        <v>95198.350999999995</v>
      </c>
    </row>
    <row r="20" spans="2:7" ht="15" x14ac:dyDescent="0.25">
      <c r="B20" s="275" t="s">
        <v>228</v>
      </c>
      <c r="C20" s="316">
        <f t="shared" ref="C20" si="2">C18/C19</f>
        <v>1.0468847310262992</v>
      </c>
      <c r="D20" s="316">
        <f t="shared" ref="D20:F20" si="3">D18/D19</f>
        <v>1.1344303494615133</v>
      </c>
      <c r="E20" s="316">
        <f t="shared" si="3"/>
        <v>1.0611901213283914</v>
      </c>
      <c r="F20" s="316">
        <f t="shared" si="3"/>
        <v>1.2186692309564671</v>
      </c>
      <c r="G20" s="461">
        <f t="shared" ref="G20" si="4">G18/G19</f>
        <v>1.0408173264947731</v>
      </c>
    </row>
    <row r="21" spans="2:7" x14ac:dyDescent="0.2">
      <c r="B21" s="276"/>
      <c r="C21" s="315"/>
      <c r="D21" s="315"/>
      <c r="E21" s="315"/>
    </row>
    <row r="22" spans="2:7" ht="15" x14ac:dyDescent="0.25">
      <c r="B22" s="275" t="str">
        <f>IF(Contents!$B$8="English","Share price to basic earnings per share",B55)</f>
        <v>Цена акции к базовой прибыли на акцию</v>
      </c>
      <c r="C22" s="315"/>
      <c r="D22" s="315"/>
      <c r="E22" s="315"/>
    </row>
    <row r="23" spans="2:7" x14ac:dyDescent="0.2">
      <c r="B23" s="270"/>
      <c r="C23" s="312">
        <v>2018</v>
      </c>
      <c r="D23" s="312">
        <v>2019</v>
      </c>
      <c r="E23" s="312">
        <v>2020</v>
      </c>
      <c r="F23" s="312">
        <v>2021</v>
      </c>
      <c r="G23" s="313">
        <v>2022</v>
      </c>
    </row>
    <row r="24" spans="2:7" x14ac:dyDescent="0.2">
      <c r="B24" s="276" t="str">
        <f>IF(Contents!$B$8="English","Share price, RUB",B57)</f>
        <v xml:space="preserve">Цена акции, руб.  </v>
      </c>
      <c r="C24" s="316">
        <f>'Share price quotes'!I33</f>
        <v>5.3</v>
      </c>
      <c r="D24" s="316">
        <f>'Share price quotes'!J33</f>
        <v>7.04</v>
      </c>
      <c r="E24" s="316">
        <f>'Share price quotes'!K33</f>
        <v>5.31</v>
      </c>
      <c r="F24" s="316">
        <f>'Share price quotes'!L33</f>
        <v>8.34</v>
      </c>
      <c r="G24" s="461">
        <f>'Share price quotes'!M33</f>
        <v>8.52</v>
      </c>
    </row>
    <row r="25" spans="2:7" x14ac:dyDescent="0.2">
      <c r="B25" s="276" t="str">
        <f>IF(Contents!$B$8="English","Basic earnings per share, RUB",B58)</f>
        <v xml:space="preserve">Базовая прибыль на акцию, руб.  </v>
      </c>
      <c r="C25" s="315">
        <f>'Financial statements (IFRS)'!C52</f>
        <v>1.23</v>
      </c>
      <c r="D25" s="315">
        <f>'Financial statements (IFRS)'!D52</f>
        <v>1.39</v>
      </c>
      <c r="E25" s="315">
        <f>'Financial statements (IFRS)'!E52</f>
        <v>1.4</v>
      </c>
      <c r="F25" s="315">
        <f>'Financial statements (IFRS)'!F52</f>
        <v>1.54</v>
      </c>
      <c r="G25" s="462">
        <f>'Financial statements (IFRS)'!G52</f>
        <v>2.3199999999999998</v>
      </c>
    </row>
    <row r="26" spans="2:7" ht="15" x14ac:dyDescent="0.25">
      <c r="B26" s="275" t="s">
        <v>230</v>
      </c>
      <c r="C26" s="316">
        <f t="shared" ref="C26" si="5">C24/C25</f>
        <v>4.308943089430894</v>
      </c>
      <c r="D26" s="316">
        <f t="shared" ref="D26:F26" si="6">D24/D25</f>
        <v>5.0647482014388494</v>
      </c>
      <c r="E26" s="316">
        <f t="shared" si="6"/>
        <v>3.7928571428571427</v>
      </c>
      <c r="F26" s="316">
        <f t="shared" si="6"/>
        <v>5.4155844155844157</v>
      </c>
      <c r="G26" s="461">
        <f t="shared" ref="G26" si="7">G24/G25</f>
        <v>3.6724137931034484</v>
      </c>
    </row>
    <row r="27" spans="2:7" x14ac:dyDescent="0.2">
      <c r="B27" s="277"/>
      <c r="C27" s="315"/>
      <c r="D27" s="315"/>
      <c r="E27" s="315"/>
    </row>
    <row r="28" spans="2:7" ht="15" x14ac:dyDescent="0.25">
      <c r="B28" s="275" t="str">
        <f>IF(Contents!$B$8="English","Capitalization to revenue",B61)</f>
        <v>Капитализация к выручке</v>
      </c>
      <c r="C28" s="315"/>
      <c r="D28" s="315"/>
      <c r="E28" s="315"/>
    </row>
    <row r="29" spans="2:7" x14ac:dyDescent="0.2">
      <c r="B29" s="270"/>
      <c r="C29" s="312">
        <v>2018</v>
      </c>
      <c r="D29" s="312">
        <v>2019</v>
      </c>
      <c r="E29" s="312">
        <v>2020</v>
      </c>
      <c r="F29" s="312">
        <v>2021</v>
      </c>
      <c r="G29" s="313">
        <v>2022</v>
      </c>
    </row>
    <row r="30" spans="2:7" x14ac:dyDescent="0.2">
      <c r="B30" s="276" t="str">
        <f>IF(Contents!$B$8="English","Capitalization, RUB mln",B63)</f>
        <v xml:space="preserve">Капитализация, млн руб.  </v>
      </c>
      <c r="C30" s="317">
        <f>'Share price quotes'!I56</f>
        <v>53681</v>
      </c>
      <c r="D30" s="317">
        <f>'Share price quotes'!J56</f>
        <v>71617</v>
      </c>
      <c r="E30" s="317">
        <f>'Share price quotes'!K56</f>
        <v>58840</v>
      </c>
      <c r="F30" s="317">
        <f>'Share price quotes'!L56</f>
        <v>87233</v>
      </c>
      <c r="G30" s="463">
        <f>'Share price quotes'!M56</f>
        <v>84545.503174530997</v>
      </c>
    </row>
    <row r="31" spans="2:7" x14ac:dyDescent="0.2">
      <c r="B31" s="276" t="str">
        <f>IF(Contents!$B$8="English","Revenue, RUB mln",B64)</f>
        <v xml:space="preserve">Выручка, млн руб.  </v>
      </c>
      <c r="C31" s="317">
        <f>('Financial statements (IFRS)'!C42)/1000</f>
        <v>77989.910999999993</v>
      </c>
      <c r="D31" s="317">
        <f>('Financial statements (IFRS)'!D42)/1000</f>
        <v>82665.269</v>
      </c>
      <c r="E31" s="317">
        <f>('Financial statements (IFRS)'!E42)/1000</f>
        <v>82707.517000000007</v>
      </c>
      <c r="F31" s="317">
        <f>('Financial statements (IFRS)'!F42)/1000</f>
        <v>93505.812000000005</v>
      </c>
      <c r="G31" s="463">
        <f>('Financial statements (IFRS)'!G42)/1000</f>
        <v>95198.350999999995</v>
      </c>
    </row>
    <row r="32" spans="2:7" ht="15" x14ac:dyDescent="0.25">
      <c r="B32" s="275" t="s">
        <v>232</v>
      </c>
      <c r="C32" s="316">
        <f t="shared" ref="C32" si="8">C30/C31</f>
        <v>0.68830697857829337</v>
      </c>
      <c r="D32" s="316">
        <f t="shared" ref="D32:F32" si="9">D30/D31</f>
        <v>0.86634932501096684</v>
      </c>
      <c r="E32" s="316">
        <f t="shared" si="9"/>
        <v>0.7114226388878292</v>
      </c>
      <c r="F32" s="316">
        <f t="shared" si="9"/>
        <v>0.93291527161969345</v>
      </c>
      <c r="G32" s="461">
        <f t="shared" ref="G32" si="10">G30/G31</f>
        <v>0.88809839967218551</v>
      </c>
    </row>
    <row r="33" spans="2:7" x14ac:dyDescent="0.2">
      <c r="B33" s="277"/>
      <c r="C33" s="315"/>
      <c r="D33" s="315"/>
      <c r="E33" s="315"/>
    </row>
    <row r="34" spans="2:7" ht="15" x14ac:dyDescent="0.25">
      <c r="B34" s="275" t="str">
        <f>IF(Contents!$B$8="English","Capitalization to book value",B67)</f>
        <v>Капитализация к балансовой стоимости</v>
      </c>
      <c r="C34" s="315"/>
      <c r="D34" s="315"/>
      <c r="E34" s="315"/>
    </row>
    <row r="35" spans="2:7" x14ac:dyDescent="0.2">
      <c r="B35" s="270"/>
      <c r="C35" s="312">
        <v>2018</v>
      </c>
      <c r="D35" s="312">
        <v>2019</v>
      </c>
      <c r="E35" s="312">
        <v>2020</v>
      </c>
      <c r="F35" s="312">
        <v>2021</v>
      </c>
      <c r="G35" s="313">
        <v>2022</v>
      </c>
    </row>
    <row r="36" spans="2:7" x14ac:dyDescent="0.2">
      <c r="B36" s="276" t="str">
        <f>IF(Contents!$B$8="English","Capitalization, RUB mln",B69)</f>
        <v xml:space="preserve">Капитализация, млн руб.  </v>
      </c>
      <c r="C36" s="314">
        <f>'Share price quotes'!I56</f>
        <v>53681</v>
      </c>
      <c r="D36" s="314">
        <f>'Share price quotes'!J56</f>
        <v>71617</v>
      </c>
      <c r="E36" s="314">
        <f>'Share price quotes'!K56</f>
        <v>58840</v>
      </c>
      <c r="F36" s="314">
        <f>'Share price quotes'!L56</f>
        <v>87233</v>
      </c>
      <c r="G36" s="460">
        <f>'Share price quotes'!M56</f>
        <v>84545.503174530997</v>
      </c>
    </row>
    <row r="37" spans="2:7" x14ac:dyDescent="0.2">
      <c r="B37" s="276" t="str">
        <f>IF(Contents!$B$8="English","Book value, RUB mln",B70)</f>
        <v xml:space="preserve">Балансовая стоимость, млн руб.  </v>
      </c>
      <c r="C37" s="314">
        <f>('Financial statements (IFRS)'!C21)/1000</f>
        <v>205822.59099999999</v>
      </c>
      <c r="D37" s="314">
        <f>('Financial statements (IFRS)'!D21)/1000</f>
        <v>214461.12100000001</v>
      </c>
      <c r="E37" s="314">
        <f>('Financial statements (IFRS)'!E21)/1000</f>
        <v>218793.46900000001</v>
      </c>
      <c r="F37" s="314">
        <f>('Financial statements (IFRS)'!F21)/1000</f>
        <v>234171.927</v>
      </c>
      <c r="G37" s="460">
        <f>('Financial statements (IFRS)'!G21)/1000</f>
        <v>255082.764</v>
      </c>
    </row>
    <row r="38" spans="2:7" ht="15" x14ac:dyDescent="0.25">
      <c r="B38" s="275" t="s">
        <v>234</v>
      </c>
      <c r="C38" s="316">
        <f t="shared" ref="C38" si="11">C36/C37</f>
        <v>0.26081199220740547</v>
      </c>
      <c r="D38" s="316">
        <f t="shared" ref="D38:F38" si="12">D36/D37</f>
        <v>0.33393931574198943</v>
      </c>
      <c r="E38" s="316">
        <f t="shared" si="12"/>
        <v>0.26892941671855841</v>
      </c>
      <c r="F38" s="316">
        <f t="shared" si="12"/>
        <v>0.37251689866309212</v>
      </c>
      <c r="G38" s="461">
        <f t="shared" ref="G38" si="13">G36/G37</f>
        <v>0.33144341800581634</v>
      </c>
    </row>
    <row r="41" spans="2:7" s="51" customFormat="1" ht="15" x14ac:dyDescent="0.25">
      <c r="B41" s="278" t="s">
        <v>225</v>
      </c>
    </row>
    <row r="42" spans="2:7" s="51" customFormat="1" x14ac:dyDescent="0.2">
      <c r="B42" s="147"/>
    </row>
    <row r="43" spans="2:7" s="51" customFormat="1" x14ac:dyDescent="0.2">
      <c r="B43" s="279" t="s">
        <v>235</v>
      </c>
    </row>
    <row r="44" spans="2:7" s="51" customFormat="1" x14ac:dyDescent="0.2">
      <c r="B44" s="279" t="s">
        <v>236</v>
      </c>
    </row>
    <row r="45" spans="2:7" s="51" customFormat="1" x14ac:dyDescent="0.2">
      <c r="B45" s="279" t="s">
        <v>251</v>
      </c>
    </row>
    <row r="46" spans="2:7" s="51" customFormat="1" x14ac:dyDescent="0.2">
      <c r="B46" s="279" t="s">
        <v>226</v>
      </c>
    </row>
    <row r="47" spans="2:7" s="51" customFormat="1" ht="15" x14ac:dyDescent="0.25">
      <c r="B47" s="278" t="s">
        <v>227</v>
      </c>
    </row>
    <row r="48" spans="2:7" s="51" customFormat="1" x14ac:dyDescent="0.2">
      <c r="B48" s="279"/>
    </row>
    <row r="49" spans="2:2" s="51" customFormat="1" ht="15" x14ac:dyDescent="0.25">
      <c r="B49" s="278" t="s">
        <v>471</v>
      </c>
    </row>
    <row r="50" spans="2:2" s="51" customFormat="1" x14ac:dyDescent="0.2">
      <c r="B50" s="147"/>
    </row>
    <row r="51" spans="2:2" s="51" customFormat="1" x14ac:dyDescent="0.2">
      <c r="B51" s="279" t="s">
        <v>251</v>
      </c>
    </row>
    <row r="52" spans="2:2" s="51" customFormat="1" x14ac:dyDescent="0.2">
      <c r="B52" s="279" t="s">
        <v>237</v>
      </c>
    </row>
    <row r="53" spans="2:2" s="51" customFormat="1" ht="15" x14ac:dyDescent="0.25">
      <c r="B53" s="278" t="s">
        <v>228</v>
      </c>
    </row>
    <row r="54" spans="2:2" s="51" customFormat="1" x14ac:dyDescent="0.2">
      <c r="B54" s="279"/>
    </row>
    <row r="55" spans="2:2" s="51" customFormat="1" ht="15" x14ac:dyDescent="0.25">
      <c r="B55" s="278" t="s">
        <v>229</v>
      </c>
    </row>
    <row r="56" spans="2:2" s="51" customFormat="1" x14ac:dyDescent="0.2">
      <c r="B56" s="147"/>
    </row>
    <row r="57" spans="2:2" s="51" customFormat="1" x14ac:dyDescent="0.2">
      <c r="B57" s="279" t="s">
        <v>238</v>
      </c>
    </row>
    <row r="58" spans="2:2" s="51" customFormat="1" x14ac:dyDescent="0.2">
      <c r="B58" s="279" t="s">
        <v>239</v>
      </c>
    </row>
    <row r="59" spans="2:2" s="51" customFormat="1" ht="15" x14ac:dyDescent="0.25">
      <c r="B59" s="278" t="s">
        <v>230</v>
      </c>
    </row>
    <row r="60" spans="2:2" s="51" customFormat="1" x14ac:dyDescent="0.2">
      <c r="B60" s="280"/>
    </row>
    <row r="61" spans="2:2" s="51" customFormat="1" ht="15" x14ac:dyDescent="0.25">
      <c r="B61" s="278" t="s">
        <v>231</v>
      </c>
    </row>
    <row r="62" spans="2:2" s="51" customFormat="1" x14ac:dyDescent="0.2">
      <c r="B62" s="147"/>
    </row>
    <row r="63" spans="2:2" s="51" customFormat="1" x14ac:dyDescent="0.2">
      <c r="B63" s="279" t="s">
        <v>235</v>
      </c>
    </row>
    <row r="64" spans="2:2" s="51" customFormat="1" x14ac:dyDescent="0.2">
      <c r="B64" s="279" t="s">
        <v>237</v>
      </c>
    </row>
    <row r="65" spans="2:2" s="51" customFormat="1" ht="15" x14ac:dyDescent="0.25">
      <c r="B65" s="278" t="s">
        <v>232</v>
      </c>
    </row>
    <row r="66" spans="2:2" s="51" customFormat="1" x14ac:dyDescent="0.2">
      <c r="B66" s="280"/>
    </row>
    <row r="67" spans="2:2" s="51" customFormat="1" ht="15" x14ac:dyDescent="0.25">
      <c r="B67" s="278" t="s">
        <v>233</v>
      </c>
    </row>
    <row r="68" spans="2:2" s="51" customFormat="1" x14ac:dyDescent="0.2">
      <c r="B68" s="147"/>
    </row>
    <row r="69" spans="2:2" s="51" customFormat="1" x14ac:dyDescent="0.2">
      <c r="B69" s="279" t="s">
        <v>235</v>
      </c>
    </row>
    <row r="70" spans="2:2" s="51" customFormat="1" x14ac:dyDescent="0.2">
      <c r="B70" s="279" t="s">
        <v>240</v>
      </c>
    </row>
    <row r="71" spans="2:2" s="51" customFormat="1" ht="15" x14ac:dyDescent="0.25">
      <c r="B71" s="278" t="s">
        <v>234</v>
      </c>
    </row>
  </sheetData>
  <sheetProtection formatCells="0" formatColumns="0" formatRows="0" insertColumns="0" insertRows="0" insertHyperlinks="0" deleteColumns="0" deleteRows="0" sort="0" autoFilter="0" pivotTables="0"/>
  <mergeCells count="3">
    <mergeCell ref="F5:G5"/>
    <mergeCell ref="F6:G6"/>
    <mergeCell ref="C8:G8"/>
  </mergeCells>
  <hyperlinks>
    <hyperlink ref="F5" location="'Operational data'!A1" display="'Operational data'!A1"/>
    <hyperlink ref="C5" location="Contents!A1" display="Contents!A1"/>
    <hyperlink ref="F6:G6" location="'Financial statements (IFRS)'!A1" display="'Financial statements (IFRS)'!A1"/>
  </hyperlinks>
  <pageMargins left="0.7" right="0.7" top="0.75" bottom="0.75" header="0.3" footer="0.3"/>
  <pageSetup paperSize="9" scale="3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0" tint="-0.249977111117893"/>
    <pageSetUpPr fitToPage="1"/>
  </sheetPr>
  <dimension ref="A4:Q112"/>
  <sheetViews>
    <sheetView view="pageBreakPreview" zoomScale="90" zoomScaleNormal="85" zoomScaleSheetLayoutView="90" workbookViewId="0">
      <pane xSplit="3" topLeftCell="D1" activePane="topRight" state="frozen"/>
      <selection pane="topRight" activeCell="E17" sqref="E17"/>
    </sheetView>
  </sheetViews>
  <sheetFormatPr defaultColWidth="9.140625" defaultRowHeight="12.75" x14ac:dyDescent="0.2"/>
  <cols>
    <col min="1" max="1" width="2.140625" style="31" customWidth="1"/>
    <col min="2" max="2" width="37.28515625" style="157" customWidth="1"/>
    <col min="3" max="3" width="10.5703125" style="158" customWidth="1"/>
    <col min="4" max="4" width="16.140625" style="158" customWidth="1"/>
    <col min="5" max="5" width="16.42578125" style="31" customWidth="1"/>
    <col min="6" max="6" width="15.28515625" style="31" customWidth="1"/>
    <col min="7" max="7" width="14.5703125" style="31" customWidth="1"/>
    <col min="8" max="8" width="18.140625" style="31" customWidth="1"/>
    <col min="9" max="9" width="45.7109375" style="31" customWidth="1"/>
    <col min="10" max="16384" width="9.140625" style="31"/>
  </cols>
  <sheetData>
    <row r="4" spans="2:17" ht="15" customHeight="1" x14ac:dyDescent="0.2"/>
    <row r="5" spans="2:17" ht="12.75" customHeight="1" x14ac:dyDescent="0.2">
      <c r="B5" s="296"/>
      <c r="D5" s="487" t="str">
        <f>IF(Contents!$B$8="English","Contents","Содержание")</f>
        <v>Содержание</v>
      </c>
      <c r="E5" s="487"/>
      <c r="G5" s="485" t="str">
        <f>IF(Contents!$B$8="English","Next","Вперед")</f>
        <v>Вперед</v>
      </c>
      <c r="H5" s="485"/>
    </row>
    <row r="6" spans="2:17" ht="12.75" customHeight="1" x14ac:dyDescent="0.2">
      <c r="B6" s="296"/>
      <c r="G6" s="485" t="str">
        <f>IF(Contents!$B$8="English","Back","Назад")</f>
        <v>Назад</v>
      </c>
      <c r="H6" s="485"/>
    </row>
    <row r="7" spans="2:17" ht="18" x14ac:dyDescent="0.25">
      <c r="G7" s="178"/>
      <c r="H7" s="178"/>
    </row>
    <row r="8" spans="2:17" ht="18" x14ac:dyDescent="0.25">
      <c r="D8" s="486" t="str">
        <f>IF(Contents!$B$8="English","Operational data","Характеристика активов")</f>
        <v>Характеристика активов</v>
      </c>
      <c r="E8" s="486"/>
      <c r="F8" s="486"/>
      <c r="G8" s="486"/>
      <c r="H8" s="486"/>
    </row>
    <row r="9" spans="2:17" x14ac:dyDescent="0.2">
      <c r="B9" s="152" t="str">
        <f>IF(Contents!$B$8="English",B74,B42)</f>
        <v>Основные характеристики активов "Россети Ленэнерго"</v>
      </c>
      <c r="C9" s="152"/>
      <c r="D9" s="153"/>
    </row>
    <row r="10" spans="2:17" x14ac:dyDescent="0.2">
      <c r="B10" s="143"/>
      <c r="C10" s="148" t="str">
        <f>IF(Contents!$B$8="English",B53,B52)</f>
        <v>Ед. изм.</v>
      </c>
      <c r="D10" s="148">
        <v>2018</v>
      </c>
      <c r="E10" s="148">
        <v>2019</v>
      </c>
      <c r="F10" s="148">
        <v>2020</v>
      </c>
      <c r="G10" s="148">
        <v>2021</v>
      </c>
      <c r="H10" s="149">
        <v>2022</v>
      </c>
    </row>
    <row r="11" spans="2:17" x14ac:dyDescent="0.2">
      <c r="B11" s="91" t="str">
        <f>IF(Contents!$B$8="English",B76,B44)</f>
        <v>Установленная мощность</v>
      </c>
      <c r="C11" s="100" t="str">
        <f>IF(Contents!$B$8="English","MWA","МВА")</f>
        <v>МВА</v>
      </c>
      <c r="D11" s="301">
        <v>27808</v>
      </c>
      <c r="E11" s="301">
        <v>28924</v>
      </c>
      <c r="F11" s="301">
        <v>32544</v>
      </c>
      <c r="G11" s="301">
        <v>34156.03</v>
      </c>
      <c r="H11" s="446">
        <v>35004.395000000004</v>
      </c>
    </row>
    <row r="12" spans="2:17" x14ac:dyDescent="0.2">
      <c r="B12" s="91" t="str">
        <f>IF(Contents!$B$8="English",B77,B45)</f>
        <v>Воздушные линии 0,4-110 кВ, по трассе</v>
      </c>
      <c r="C12" s="100" t="str">
        <f>IF(Contents!$B$8="English","km","км")</f>
        <v>км</v>
      </c>
      <c r="D12" s="301">
        <v>41718</v>
      </c>
      <c r="E12" s="301">
        <v>42101</v>
      </c>
      <c r="F12" s="301">
        <v>44568</v>
      </c>
      <c r="G12" s="301">
        <v>46443.51</v>
      </c>
      <c r="H12" s="446">
        <v>47543.56</v>
      </c>
    </row>
    <row r="13" spans="2:17" x14ac:dyDescent="0.2">
      <c r="B13" s="91" t="str">
        <f>IF(Contents!$B$8="English",B78,B46)</f>
        <v>Воздушные линии 0,4-110 кВ, по цепям</v>
      </c>
      <c r="C13" s="100" t="str">
        <f>IF(Contents!$B$8="English","km","км")</f>
        <v>км</v>
      </c>
      <c r="D13" s="301">
        <v>45213</v>
      </c>
      <c r="E13" s="301">
        <v>45419</v>
      </c>
      <c r="F13" s="301">
        <v>47897</v>
      </c>
      <c r="G13" s="301">
        <v>49758.8</v>
      </c>
      <c r="H13" s="446">
        <v>50858.869999999995</v>
      </c>
    </row>
    <row r="14" spans="2:17" ht="18" x14ac:dyDescent="0.25">
      <c r="B14" s="91" t="str">
        <f>IF(Contents!$B$8="English",B79,B47)</f>
        <v xml:space="preserve">Кабельные линии 0,4-110 кВ </v>
      </c>
      <c r="C14" s="100" t="str">
        <f>IF(Contents!$B$8="English","km","км")</f>
        <v>км</v>
      </c>
      <c r="D14" s="301">
        <v>23829</v>
      </c>
      <c r="E14" s="301">
        <v>24095</v>
      </c>
      <c r="F14" s="301">
        <v>29293</v>
      </c>
      <c r="G14" s="301">
        <v>30271.66</v>
      </c>
      <c r="H14" s="446">
        <v>31003.999999999996</v>
      </c>
      <c r="J14" s="178"/>
      <c r="K14" s="178"/>
      <c r="L14" s="178"/>
      <c r="M14" s="178"/>
      <c r="N14" s="178"/>
      <c r="O14" s="178"/>
      <c r="P14" s="178"/>
      <c r="Q14" s="178"/>
    </row>
    <row r="15" spans="2:17" x14ac:dyDescent="0.2">
      <c r="B15" s="91" t="str">
        <f>IF(Contents!$B$8="English",B80,B48)</f>
        <v>ПС 35-110 кВ</v>
      </c>
      <c r="C15" s="100" t="str">
        <f>IF(Contents!$B$8="English","pcs.","шт.")</f>
        <v>шт.</v>
      </c>
      <c r="D15" s="301">
        <v>396</v>
      </c>
      <c r="E15" s="301">
        <v>401</v>
      </c>
      <c r="F15" s="301">
        <v>415</v>
      </c>
      <c r="G15" s="301">
        <v>422</v>
      </c>
      <c r="H15" s="446">
        <v>425</v>
      </c>
    </row>
    <row r="16" spans="2:17" x14ac:dyDescent="0.2">
      <c r="B16" s="91" t="str">
        <f>IF(Contents!$B$8="English",B81,B49)</f>
        <v>ПС 35-110 кВ</v>
      </c>
      <c r="C16" s="100" t="str">
        <f>IF(Contents!$B$8="English","MWA","МВА")</f>
        <v>МВА</v>
      </c>
      <c r="D16" s="301">
        <v>16368</v>
      </c>
      <c r="E16" s="301">
        <v>16872</v>
      </c>
      <c r="F16" s="301">
        <v>18440</v>
      </c>
      <c r="G16" s="301">
        <v>19068.45</v>
      </c>
      <c r="H16" s="446">
        <v>19318.75</v>
      </c>
    </row>
    <row r="17" spans="2:8" x14ac:dyDescent="0.2">
      <c r="B17" s="91" t="str">
        <f>IF(Contents!$B$8="English",B82,B50)</f>
        <v>ТП 6-35 кВ</v>
      </c>
      <c r="C17" s="100" t="str">
        <f>IF(Contents!$B$8="English","pcs.","шт.")</f>
        <v>шт.</v>
      </c>
      <c r="D17" s="301">
        <v>19440</v>
      </c>
      <c r="E17" s="301">
        <v>20604</v>
      </c>
      <c r="F17" s="301">
        <v>23336</v>
      </c>
      <c r="G17" s="301">
        <v>25150</v>
      </c>
      <c r="H17" s="446">
        <v>26266</v>
      </c>
    </row>
    <row r="18" spans="2:8" x14ac:dyDescent="0.2">
      <c r="B18" s="91" t="str">
        <f>IF(Contents!$B$8="English",B83,B51)</f>
        <v>ТП 6-35 кВ</v>
      </c>
      <c r="C18" s="100" t="str">
        <f>IF(Contents!$B$8="English","MWA","МВА")</f>
        <v>МВА</v>
      </c>
      <c r="D18" s="301">
        <v>11439</v>
      </c>
      <c r="E18" s="301">
        <v>12052</v>
      </c>
      <c r="F18" s="301">
        <v>14104</v>
      </c>
      <c r="G18" s="301">
        <v>15087.58</v>
      </c>
      <c r="H18" s="446">
        <v>15685.645000000002</v>
      </c>
    </row>
    <row r="19" spans="2:8" x14ac:dyDescent="0.2">
      <c r="D19" s="159"/>
      <c r="E19" s="159"/>
      <c r="F19" s="159"/>
    </row>
    <row r="20" spans="2:8" x14ac:dyDescent="0.2">
      <c r="B20" s="152" t="str">
        <f>IF(Contents!$B$8="English",B85,B54)</f>
        <v>Состав электрических сетей по оборудованию</v>
      </c>
      <c r="C20" s="162"/>
      <c r="D20" s="160"/>
      <c r="E20" s="160"/>
      <c r="F20" s="160"/>
    </row>
    <row r="21" spans="2:8" x14ac:dyDescent="0.2">
      <c r="B21" s="163"/>
      <c r="C21" s="164" t="str">
        <f>IF(Contents!$B$8="English",B53,B52)</f>
        <v>Ед. изм.</v>
      </c>
      <c r="D21" s="164">
        <v>2018</v>
      </c>
      <c r="E21" s="148">
        <v>2019</v>
      </c>
      <c r="F21" s="148">
        <v>2020</v>
      </c>
      <c r="G21" s="148">
        <v>2021</v>
      </c>
      <c r="H21" s="149">
        <v>2022</v>
      </c>
    </row>
    <row r="22" spans="2:8" x14ac:dyDescent="0.2">
      <c r="B22" s="154" t="str">
        <f>IF(Contents!$B$8="English",B87,B56)</f>
        <v>ПС</v>
      </c>
      <c r="C22" s="155" t="s">
        <v>28</v>
      </c>
      <c r="D22" s="156">
        <v>100519</v>
      </c>
      <c r="E22" s="156">
        <v>103580</v>
      </c>
      <c r="F22" s="156">
        <v>110348</v>
      </c>
      <c r="G22" s="301">
        <v>113997.65</v>
      </c>
      <c r="H22" s="446">
        <v>116740.25</v>
      </c>
    </row>
    <row r="23" spans="2:8" x14ac:dyDescent="0.2">
      <c r="B23" s="154" t="str">
        <f>IF(Contents!$B$8="English",B88,B57)</f>
        <v>ТП</v>
      </c>
      <c r="C23" s="155" t="s">
        <v>28</v>
      </c>
      <c r="D23" s="156">
        <v>232133.8</v>
      </c>
      <c r="E23" s="156">
        <v>241527</v>
      </c>
      <c r="F23" s="156">
        <v>287395</v>
      </c>
      <c r="G23" s="301">
        <v>303190.5</v>
      </c>
      <c r="H23" s="446">
        <v>312113.5</v>
      </c>
    </row>
    <row r="24" spans="2:8" x14ac:dyDescent="0.2">
      <c r="B24" s="154" t="str">
        <f>IF(Contents!$B$8="English",B89,B58)</f>
        <v>Воздушные линии 0,4-10 кВ, по трассе</v>
      </c>
      <c r="C24" s="155" t="s">
        <v>28</v>
      </c>
      <c r="D24" s="156">
        <v>49185.8</v>
      </c>
      <c r="E24" s="156">
        <v>49641</v>
      </c>
      <c r="F24" s="156">
        <v>53434</v>
      </c>
      <c r="G24" s="301">
        <v>57126.03</v>
      </c>
      <c r="H24" s="446">
        <v>59088.639999999999</v>
      </c>
    </row>
    <row r="25" spans="2:8" x14ac:dyDescent="0.2">
      <c r="B25" s="154" t="str">
        <f>IF(Contents!$B$8="English",B90,B59)</f>
        <v>Воздушные линии ВЛ 35-110 кВ, по трассе</v>
      </c>
      <c r="C25" s="155" t="s">
        <v>28</v>
      </c>
      <c r="D25" s="156">
        <v>11180.1</v>
      </c>
      <c r="E25" s="156">
        <v>10988</v>
      </c>
      <c r="F25" s="156">
        <v>11012</v>
      </c>
      <c r="G25" s="301">
        <v>10948</v>
      </c>
      <c r="H25" s="446">
        <v>10948.41</v>
      </c>
    </row>
    <row r="26" spans="2:8" x14ac:dyDescent="0.2">
      <c r="B26" s="154" t="str">
        <f>IF(Contents!$B$8="English",B91,B60)</f>
        <v>Кабельные линии 0,4-110 кВ</v>
      </c>
      <c r="C26" s="155" t="s">
        <v>28</v>
      </c>
      <c r="D26" s="156">
        <v>84368.63</v>
      </c>
      <c r="E26" s="156">
        <v>84936</v>
      </c>
      <c r="F26" s="156">
        <v>104010</v>
      </c>
      <c r="G26" s="301">
        <v>107763.48</v>
      </c>
      <c r="H26" s="446">
        <v>110346.14499999999</v>
      </c>
    </row>
    <row r="27" spans="2:8" x14ac:dyDescent="0.2">
      <c r="B27" s="99" t="str">
        <f>IF(Contents!$B$8="English",B92,B61)</f>
        <v>ИТОГО*</v>
      </c>
      <c r="C27" s="92" t="s">
        <v>426</v>
      </c>
      <c r="D27" s="373">
        <v>477387.32999999996</v>
      </c>
      <c r="E27" s="373">
        <v>490672</v>
      </c>
      <c r="F27" s="373">
        <v>566199</v>
      </c>
      <c r="G27" s="419">
        <v>593025.66</v>
      </c>
      <c r="H27" s="447">
        <v>609236.94499999995</v>
      </c>
    </row>
    <row r="28" spans="2:8" x14ac:dyDescent="0.2">
      <c r="B28" s="157" t="str">
        <f>IF(Contents!$B$8="English",B93,B62)</f>
        <v xml:space="preserve"> * Без учета ДГУ, СДТУ</v>
      </c>
      <c r="D28" s="159"/>
      <c r="E28" s="159"/>
      <c r="F28" s="159"/>
    </row>
    <row r="29" spans="2:8" x14ac:dyDescent="0.2">
      <c r="D29" s="159"/>
      <c r="E29" s="159"/>
      <c r="F29" s="159"/>
    </row>
    <row r="30" spans="2:8" x14ac:dyDescent="0.2">
      <c r="B30" s="152" t="str">
        <f>IF(Contents!$B$8="English",B95,B64)</f>
        <v>Состав электрических сетей по классу напряжения</v>
      </c>
      <c r="C30" s="162"/>
      <c r="D30" s="159"/>
      <c r="E30" s="159"/>
      <c r="F30" s="159"/>
    </row>
    <row r="31" spans="2:8" x14ac:dyDescent="0.2">
      <c r="B31" s="163"/>
      <c r="C31" s="164" t="str">
        <f>IF(Contents!$B$8="English",B53,B52)</f>
        <v>Ед. изм.</v>
      </c>
      <c r="D31" s="165">
        <v>2018</v>
      </c>
      <c r="E31" s="148">
        <v>2019</v>
      </c>
      <c r="F31" s="148">
        <v>2020</v>
      </c>
      <c r="G31" s="148">
        <v>2021</v>
      </c>
      <c r="H31" s="149">
        <v>2022</v>
      </c>
    </row>
    <row r="32" spans="2:8" x14ac:dyDescent="0.2">
      <c r="B32" s="154" t="str">
        <f>IF(Contents!$B$8="English",B97,B66)</f>
        <v>110 кВ</v>
      </c>
      <c r="C32" s="155" t="s">
        <v>28</v>
      </c>
      <c r="D32" s="156">
        <v>52020.11</v>
      </c>
      <c r="E32" s="156">
        <v>52518</v>
      </c>
      <c r="F32" s="156">
        <v>57015</v>
      </c>
      <c r="G32" s="301">
        <v>58267.698402500006</v>
      </c>
      <c r="H32" s="446">
        <v>58815.299999999996</v>
      </c>
    </row>
    <row r="33" spans="1:8" x14ac:dyDescent="0.2">
      <c r="B33" s="154" t="str">
        <f>IF(Contents!$B$8="English",B98,B67)</f>
        <v>35 кВ</v>
      </c>
      <c r="C33" s="155" t="s">
        <v>28</v>
      </c>
      <c r="D33" s="156">
        <v>27561</v>
      </c>
      <c r="E33" s="156">
        <v>27750</v>
      </c>
      <c r="F33" s="156">
        <v>28261</v>
      </c>
      <c r="G33" s="301">
        <v>29261.280000000002</v>
      </c>
      <c r="H33" s="446">
        <v>29852.338</v>
      </c>
    </row>
    <row r="34" spans="1:8" x14ac:dyDescent="0.2">
      <c r="B34" s="154" t="str">
        <f>IF(Contents!$B$8="English",B99,B68)</f>
        <v>1-20 кВ</v>
      </c>
      <c r="C34" s="155" t="s">
        <v>28</v>
      </c>
      <c r="D34" s="156">
        <v>352692.78</v>
      </c>
      <c r="E34" s="156">
        <v>364758</v>
      </c>
      <c r="F34" s="156">
        <v>428590</v>
      </c>
      <c r="G34" s="301">
        <v>449296.34200000006</v>
      </c>
      <c r="H34" s="446">
        <v>462061.761</v>
      </c>
    </row>
    <row r="35" spans="1:8" x14ac:dyDescent="0.2">
      <c r="B35" s="154" t="str">
        <f>IF(Contents!$B$8="English",B100,B69)</f>
        <v>до 1 кВ</v>
      </c>
      <c r="C35" s="155" t="s">
        <v>28</v>
      </c>
      <c r="D35" s="156">
        <v>45113.47</v>
      </c>
      <c r="E35" s="156">
        <v>45646.400000000001</v>
      </c>
      <c r="F35" s="156">
        <v>52332.6</v>
      </c>
      <c r="G35" s="301">
        <v>56200.685000000005</v>
      </c>
      <c r="H35" s="446">
        <v>58507.541000000005</v>
      </c>
    </row>
    <row r="36" spans="1:8" x14ac:dyDescent="0.2">
      <c r="B36" s="99" t="str">
        <f>IF(Contents!$B$8="English",B101,B70)</f>
        <v>ИТОГО*</v>
      </c>
      <c r="C36" s="92" t="s">
        <v>28</v>
      </c>
      <c r="D36" s="373">
        <v>477387.36</v>
      </c>
      <c r="E36" s="373">
        <v>490672</v>
      </c>
      <c r="F36" s="373">
        <v>566199</v>
      </c>
      <c r="G36" s="419">
        <f>SUM(G32:G35)</f>
        <v>593026.00540250016</v>
      </c>
      <c r="H36" s="447">
        <v>609236.93999999994</v>
      </c>
    </row>
    <row r="37" spans="1:8" x14ac:dyDescent="0.2">
      <c r="B37" s="157" t="str">
        <f>IF(Contents!$B$8="English",B102,B71)</f>
        <v xml:space="preserve"> * Без учета ДГУ, СДТУ</v>
      </c>
      <c r="D37" s="31"/>
    </row>
    <row r="41" spans="1:8" x14ac:dyDescent="0.2">
      <c r="A41" s="51"/>
      <c r="B41" s="415"/>
      <c r="C41" s="416"/>
      <c r="D41" s="417"/>
      <c r="E41" s="166"/>
      <c r="F41" s="166"/>
      <c r="G41" s="166"/>
    </row>
    <row r="42" spans="1:8" s="51" customFormat="1" x14ac:dyDescent="0.2">
      <c r="B42" s="403" t="s">
        <v>429</v>
      </c>
      <c r="C42" s="403"/>
      <c r="D42" s="417"/>
      <c r="E42" s="166"/>
      <c r="F42" s="166"/>
      <c r="G42" s="166"/>
    </row>
    <row r="43" spans="1:8" s="51" customFormat="1" x14ac:dyDescent="0.2">
      <c r="B43" s="404"/>
      <c r="C43" s="405" t="s">
        <v>23</v>
      </c>
      <c r="D43" s="417"/>
      <c r="E43" s="166"/>
      <c r="F43" s="166"/>
      <c r="G43" s="166"/>
    </row>
    <row r="44" spans="1:8" s="51" customFormat="1" x14ac:dyDescent="0.2">
      <c r="B44" s="406" t="s">
        <v>263</v>
      </c>
      <c r="C44" s="407" t="s">
        <v>25</v>
      </c>
      <c r="D44" s="417"/>
      <c r="E44" s="166"/>
      <c r="F44" s="166"/>
      <c r="G44" s="166"/>
    </row>
    <row r="45" spans="1:8" s="51" customFormat="1" x14ac:dyDescent="0.2">
      <c r="B45" s="406" t="s">
        <v>411</v>
      </c>
      <c r="C45" s="407" t="s">
        <v>29</v>
      </c>
      <c r="D45" s="417"/>
      <c r="E45" s="166"/>
      <c r="F45" s="166"/>
      <c r="G45" s="166"/>
    </row>
    <row r="46" spans="1:8" s="51" customFormat="1" x14ac:dyDescent="0.2">
      <c r="B46" s="406" t="s">
        <v>412</v>
      </c>
      <c r="C46" s="407" t="s">
        <v>29</v>
      </c>
      <c r="D46" s="417"/>
      <c r="E46" s="166"/>
      <c r="F46" s="166"/>
      <c r="G46" s="166"/>
    </row>
    <row r="47" spans="1:8" s="51" customFormat="1" x14ac:dyDescent="0.2">
      <c r="B47" s="406" t="s">
        <v>413</v>
      </c>
      <c r="C47" s="407" t="s">
        <v>29</v>
      </c>
      <c r="D47" s="417"/>
      <c r="E47" s="166"/>
      <c r="F47" s="166"/>
      <c r="G47" s="166"/>
    </row>
    <row r="48" spans="1:8" s="51" customFormat="1" x14ac:dyDescent="0.2">
      <c r="B48" s="406" t="s">
        <v>414</v>
      </c>
      <c r="C48" s="407" t="s">
        <v>30</v>
      </c>
      <c r="D48" s="417"/>
      <c r="E48" s="166"/>
      <c r="F48" s="166"/>
      <c r="G48" s="166"/>
    </row>
    <row r="49" spans="2:7" s="51" customFormat="1" x14ac:dyDescent="0.2">
      <c r="B49" s="406" t="s">
        <v>414</v>
      </c>
      <c r="C49" s="407" t="s">
        <v>25</v>
      </c>
      <c r="D49" s="417"/>
      <c r="E49" s="166"/>
      <c r="F49" s="166"/>
      <c r="G49" s="166"/>
    </row>
    <row r="50" spans="2:7" s="51" customFormat="1" x14ac:dyDescent="0.2">
      <c r="B50" s="406" t="s">
        <v>415</v>
      </c>
      <c r="C50" s="407" t="s">
        <v>30</v>
      </c>
      <c r="D50" s="417"/>
      <c r="E50" s="166"/>
      <c r="F50" s="166"/>
      <c r="G50" s="166"/>
    </row>
    <row r="51" spans="2:7" s="51" customFormat="1" x14ac:dyDescent="0.2">
      <c r="B51" s="406" t="s">
        <v>415</v>
      </c>
      <c r="C51" s="407" t="s">
        <v>25</v>
      </c>
      <c r="D51" s="417"/>
      <c r="E51" s="166"/>
      <c r="F51" s="166"/>
      <c r="G51" s="166"/>
    </row>
    <row r="52" spans="2:7" s="51" customFormat="1" x14ac:dyDescent="0.2">
      <c r="B52" s="402" t="s">
        <v>23</v>
      </c>
      <c r="C52" s="402"/>
      <c r="D52" s="417"/>
      <c r="E52" s="166"/>
      <c r="F52" s="166"/>
      <c r="G52" s="166"/>
    </row>
    <row r="53" spans="2:7" s="51" customFormat="1" x14ac:dyDescent="0.2">
      <c r="B53" s="402" t="s">
        <v>116</v>
      </c>
      <c r="C53" s="402"/>
      <c r="D53" s="417"/>
      <c r="E53" s="166"/>
      <c r="F53" s="166"/>
      <c r="G53" s="166"/>
    </row>
    <row r="54" spans="2:7" s="51" customFormat="1" x14ac:dyDescent="0.2">
      <c r="B54" s="403" t="s">
        <v>31</v>
      </c>
      <c r="C54" s="408"/>
      <c r="D54" s="417"/>
      <c r="E54" s="166"/>
      <c r="F54" s="166"/>
      <c r="G54" s="166"/>
    </row>
    <row r="55" spans="2:7" s="51" customFormat="1" x14ac:dyDescent="0.2">
      <c r="B55" s="409"/>
      <c r="C55" s="410" t="s">
        <v>23</v>
      </c>
      <c r="D55" s="417"/>
      <c r="E55" s="166"/>
      <c r="F55" s="166"/>
      <c r="G55" s="166"/>
    </row>
    <row r="56" spans="2:7" s="51" customFormat="1" x14ac:dyDescent="0.2">
      <c r="B56" s="411" t="s">
        <v>20</v>
      </c>
      <c r="C56" s="412" t="s">
        <v>28</v>
      </c>
      <c r="D56" s="417"/>
      <c r="E56" s="166"/>
      <c r="F56" s="166"/>
      <c r="G56" s="166"/>
    </row>
    <row r="57" spans="2:7" s="51" customFormat="1" x14ac:dyDescent="0.2">
      <c r="B57" s="411" t="s">
        <v>21</v>
      </c>
      <c r="C57" s="412" t="s">
        <v>28</v>
      </c>
      <c r="D57" s="417"/>
      <c r="E57" s="166"/>
      <c r="F57" s="166"/>
      <c r="G57" s="166"/>
    </row>
    <row r="58" spans="2:7" s="51" customFormat="1" x14ac:dyDescent="0.2">
      <c r="B58" s="406" t="s">
        <v>404</v>
      </c>
      <c r="C58" s="412" t="s">
        <v>28</v>
      </c>
      <c r="D58" s="417"/>
      <c r="E58" s="166"/>
      <c r="F58" s="166"/>
      <c r="G58" s="166"/>
    </row>
    <row r="59" spans="2:7" s="51" customFormat="1" x14ac:dyDescent="0.2">
      <c r="B59" s="411" t="s">
        <v>405</v>
      </c>
      <c r="C59" s="412" t="s">
        <v>28</v>
      </c>
      <c r="D59" s="417"/>
      <c r="E59" s="166"/>
      <c r="F59" s="166"/>
      <c r="G59" s="166"/>
    </row>
    <row r="60" spans="2:7" s="51" customFormat="1" x14ac:dyDescent="0.2">
      <c r="B60" s="406" t="s">
        <v>410</v>
      </c>
      <c r="C60" s="412" t="s">
        <v>28</v>
      </c>
      <c r="D60" s="417"/>
      <c r="E60" s="166"/>
      <c r="F60" s="166"/>
      <c r="G60" s="166"/>
    </row>
    <row r="61" spans="2:7" s="51" customFormat="1" x14ac:dyDescent="0.2">
      <c r="B61" s="413" t="s">
        <v>427</v>
      </c>
      <c r="C61" s="414" t="s">
        <v>28</v>
      </c>
      <c r="D61" s="417"/>
      <c r="E61" s="166"/>
      <c r="F61" s="166"/>
      <c r="G61" s="166"/>
    </row>
    <row r="62" spans="2:7" s="51" customFormat="1" x14ac:dyDescent="0.2">
      <c r="B62" s="401" t="s">
        <v>181</v>
      </c>
      <c r="C62" s="402"/>
      <c r="D62" s="417"/>
      <c r="E62" s="166"/>
      <c r="F62" s="166"/>
      <c r="G62" s="166"/>
    </row>
    <row r="63" spans="2:7" s="51" customFormat="1" x14ac:dyDescent="0.2">
      <c r="B63" s="401"/>
      <c r="C63" s="402"/>
      <c r="D63" s="417"/>
      <c r="E63" s="166"/>
      <c r="F63" s="166"/>
      <c r="G63" s="166"/>
    </row>
    <row r="64" spans="2:7" s="51" customFormat="1" x14ac:dyDescent="0.2">
      <c r="B64" s="403" t="s">
        <v>32</v>
      </c>
      <c r="C64" s="408"/>
      <c r="D64" s="417"/>
      <c r="E64" s="166"/>
      <c r="F64" s="166"/>
      <c r="G64" s="166"/>
    </row>
    <row r="65" spans="2:7" s="51" customFormat="1" x14ac:dyDescent="0.2">
      <c r="B65" s="409"/>
      <c r="C65" s="410" t="s">
        <v>23</v>
      </c>
      <c r="D65" s="417"/>
      <c r="E65" s="166"/>
      <c r="F65" s="166"/>
      <c r="G65" s="166"/>
    </row>
    <row r="66" spans="2:7" s="51" customFormat="1" x14ac:dyDescent="0.2">
      <c r="B66" s="360" t="s">
        <v>406</v>
      </c>
      <c r="C66" s="264" t="s">
        <v>28</v>
      </c>
      <c r="D66" s="417"/>
      <c r="E66" s="166"/>
      <c r="F66" s="166"/>
      <c r="G66" s="166"/>
    </row>
    <row r="67" spans="2:7" s="51" customFormat="1" x14ac:dyDescent="0.2">
      <c r="B67" s="360" t="s">
        <v>407</v>
      </c>
      <c r="C67" s="264" t="s">
        <v>28</v>
      </c>
      <c r="D67" s="417"/>
      <c r="E67" s="166"/>
      <c r="F67" s="166"/>
      <c r="G67" s="166"/>
    </row>
    <row r="68" spans="2:7" s="51" customFormat="1" x14ac:dyDescent="0.2">
      <c r="B68" s="360" t="s">
        <v>408</v>
      </c>
      <c r="C68" s="264" t="s">
        <v>28</v>
      </c>
      <c r="D68" s="417"/>
      <c r="E68" s="166"/>
      <c r="F68" s="166"/>
      <c r="G68" s="166"/>
    </row>
    <row r="69" spans="2:7" s="51" customFormat="1" x14ac:dyDescent="0.2">
      <c r="B69" s="360" t="s">
        <v>409</v>
      </c>
      <c r="C69" s="264" t="s">
        <v>28</v>
      </c>
      <c r="D69" s="417"/>
      <c r="E69" s="166"/>
      <c r="F69" s="166"/>
      <c r="G69" s="166"/>
    </row>
    <row r="70" spans="2:7" s="51" customFormat="1" x14ac:dyDescent="0.2">
      <c r="B70" s="361" t="s">
        <v>427</v>
      </c>
      <c r="C70" s="265" t="s">
        <v>28</v>
      </c>
      <c r="D70" s="417"/>
      <c r="E70" s="166"/>
      <c r="F70" s="166"/>
      <c r="G70" s="166"/>
    </row>
    <row r="71" spans="2:7" s="51" customFormat="1" x14ac:dyDescent="0.2">
      <c r="B71" s="263" t="s">
        <v>181</v>
      </c>
      <c r="C71" s="261"/>
      <c r="D71" s="417"/>
      <c r="E71" s="166"/>
      <c r="F71" s="166"/>
      <c r="G71" s="166"/>
    </row>
    <row r="72" spans="2:7" s="51" customFormat="1" x14ac:dyDescent="0.2">
      <c r="B72" s="263"/>
      <c r="C72" s="261"/>
      <c r="D72" s="417"/>
      <c r="E72" s="166"/>
      <c r="F72" s="166"/>
      <c r="G72" s="166"/>
    </row>
    <row r="73" spans="2:7" s="51" customFormat="1" x14ac:dyDescent="0.2">
      <c r="B73" s="263"/>
      <c r="C73" s="261"/>
      <c r="D73" s="417"/>
      <c r="E73" s="166"/>
      <c r="F73" s="166"/>
      <c r="G73" s="166"/>
    </row>
    <row r="74" spans="2:7" s="51" customFormat="1" x14ac:dyDescent="0.2">
      <c r="B74" s="263" t="s">
        <v>430</v>
      </c>
      <c r="D74" s="417"/>
      <c r="E74" s="166"/>
      <c r="F74" s="166"/>
      <c r="G74" s="166"/>
    </row>
    <row r="75" spans="2:7" s="51" customFormat="1" x14ac:dyDescent="0.2">
      <c r="B75" s="263"/>
      <c r="C75" s="261" t="s">
        <v>176</v>
      </c>
      <c r="D75" s="417"/>
      <c r="E75" s="166"/>
      <c r="F75" s="166"/>
      <c r="G75" s="166"/>
    </row>
    <row r="76" spans="2:7" s="51" customFormat="1" x14ac:dyDescent="0.2">
      <c r="B76" s="263" t="s">
        <v>264</v>
      </c>
      <c r="C76" s="261" t="s">
        <v>177</v>
      </c>
      <c r="D76" s="417"/>
      <c r="E76" s="166"/>
      <c r="F76" s="166"/>
      <c r="G76" s="166"/>
    </row>
    <row r="77" spans="2:7" s="51" customFormat="1" x14ac:dyDescent="0.2">
      <c r="B77" s="263" t="s">
        <v>416</v>
      </c>
      <c r="C77" s="261" t="s">
        <v>178</v>
      </c>
      <c r="D77" s="417"/>
    </row>
    <row r="78" spans="2:7" s="51" customFormat="1" x14ac:dyDescent="0.2">
      <c r="B78" s="263" t="s">
        <v>417</v>
      </c>
      <c r="C78" s="261" t="s">
        <v>178</v>
      </c>
      <c r="D78" s="417"/>
    </row>
    <row r="79" spans="2:7" s="51" customFormat="1" x14ac:dyDescent="0.2">
      <c r="B79" s="263" t="s">
        <v>418</v>
      </c>
      <c r="C79" s="261" t="s">
        <v>178</v>
      </c>
      <c r="D79" s="417"/>
    </row>
    <row r="80" spans="2:7" s="51" customFormat="1" x14ac:dyDescent="0.2">
      <c r="B80" s="390" t="s">
        <v>419</v>
      </c>
      <c r="C80" s="261" t="s">
        <v>179</v>
      </c>
      <c r="D80" s="417"/>
    </row>
    <row r="81" spans="2:4" s="51" customFormat="1" x14ac:dyDescent="0.2">
      <c r="B81" s="390" t="s">
        <v>419</v>
      </c>
      <c r="C81" s="261" t="s">
        <v>177</v>
      </c>
      <c r="D81" s="417"/>
    </row>
    <row r="82" spans="2:4" s="51" customFormat="1" x14ac:dyDescent="0.2">
      <c r="B82" s="390" t="s">
        <v>420</v>
      </c>
      <c r="C82" s="261" t="s">
        <v>179</v>
      </c>
      <c r="D82" s="417"/>
    </row>
    <row r="83" spans="2:4" s="51" customFormat="1" x14ac:dyDescent="0.2">
      <c r="B83" s="390" t="s">
        <v>420</v>
      </c>
      <c r="C83" s="261" t="s">
        <v>177</v>
      </c>
      <c r="D83" s="417"/>
    </row>
    <row r="84" spans="2:4" s="51" customFormat="1" x14ac:dyDescent="0.2">
      <c r="B84" s="263"/>
      <c r="C84" s="261"/>
      <c r="D84" s="417"/>
    </row>
    <row r="85" spans="2:4" s="51" customFormat="1" x14ac:dyDescent="0.2">
      <c r="B85" s="263" t="s">
        <v>173</v>
      </c>
      <c r="D85" s="417"/>
    </row>
    <row r="86" spans="2:4" s="51" customFormat="1" x14ac:dyDescent="0.2">
      <c r="B86" s="263"/>
      <c r="C86" s="261" t="s">
        <v>176</v>
      </c>
      <c r="D86" s="417"/>
    </row>
    <row r="87" spans="2:4" s="51" customFormat="1" x14ac:dyDescent="0.2">
      <c r="B87" s="263" t="s">
        <v>289</v>
      </c>
      <c r="C87" s="261" t="s">
        <v>180</v>
      </c>
      <c r="D87" s="417"/>
    </row>
    <row r="88" spans="2:4" s="51" customFormat="1" x14ac:dyDescent="0.2">
      <c r="B88" s="263" t="s">
        <v>174</v>
      </c>
      <c r="C88" s="261" t="s">
        <v>180</v>
      </c>
      <c r="D88" s="417"/>
    </row>
    <row r="89" spans="2:4" s="51" customFormat="1" x14ac:dyDescent="0.2">
      <c r="B89" s="263" t="s">
        <v>416</v>
      </c>
      <c r="C89" s="261" t="s">
        <v>180</v>
      </c>
      <c r="D89" s="417"/>
    </row>
    <row r="90" spans="2:4" s="51" customFormat="1" x14ac:dyDescent="0.2">
      <c r="B90" s="263" t="s">
        <v>421</v>
      </c>
      <c r="C90" s="261" t="s">
        <v>180</v>
      </c>
      <c r="D90" s="417"/>
    </row>
    <row r="91" spans="2:4" s="51" customFormat="1" x14ac:dyDescent="0.2">
      <c r="B91" s="263" t="s">
        <v>418</v>
      </c>
      <c r="C91" s="261" t="s">
        <v>180</v>
      </c>
      <c r="D91" s="417"/>
    </row>
    <row r="92" spans="2:4" s="51" customFormat="1" x14ac:dyDescent="0.2">
      <c r="B92" s="263" t="s">
        <v>428</v>
      </c>
      <c r="C92" s="261" t="s">
        <v>180</v>
      </c>
      <c r="D92" s="417"/>
    </row>
    <row r="93" spans="2:4" s="51" customFormat="1" x14ac:dyDescent="0.2">
      <c r="B93" s="263" t="s">
        <v>182</v>
      </c>
      <c r="C93" s="261"/>
      <c r="D93" s="417"/>
    </row>
    <row r="94" spans="2:4" s="51" customFormat="1" x14ac:dyDescent="0.2">
      <c r="B94" s="263"/>
      <c r="C94" s="261"/>
      <c r="D94" s="417"/>
    </row>
    <row r="95" spans="2:4" s="51" customFormat="1" x14ac:dyDescent="0.2">
      <c r="B95" s="263" t="s">
        <v>175</v>
      </c>
      <c r="D95" s="417"/>
    </row>
    <row r="96" spans="2:4" s="51" customFormat="1" x14ac:dyDescent="0.2">
      <c r="B96" s="263"/>
      <c r="C96" s="261" t="s">
        <v>176</v>
      </c>
      <c r="D96" s="417"/>
    </row>
    <row r="97" spans="2:6" s="51" customFormat="1" x14ac:dyDescent="0.2">
      <c r="B97" s="390" t="s">
        <v>422</v>
      </c>
      <c r="C97" s="261" t="s">
        <v>180</v>
      </c>
      <c r="D97" s="417"/>
    </row>
    <row r="98" spans="2:6" s="51" customFormat="1" x14ac:dyDescent="0.2">
      <c r="B98" s="263" t="s">
        <v>423</v>
      </c>
      <c r="C98" s="261" t="s">
        <v>180</v>
      </c>
      <c r="D98" s="417"/>
    </row>
    <row r="99" spans="2:6" s="51" customFormat="1" x14ac:dyDescent="0.2">
      <c r="B99" s="263" t="s">
        <v>424</v>
      </c>
      <c r="C99" s="261" t="s">
        <v>180</v>
      </c>
      <c r="D99" s="417"/>
    </row>
    <row r="100" spans="2:6" s="51" customFormat="1" x14ac:dyDescent="0.2">
      <c r="B100" s="263" t="s">
        <v>425</v>
      </c>
      <c r="C100" s="261" t="s">
        <v>180</v>
      </c>
      <c r="D100" s="417"/>
    </row>
    <row r="101" spans="2:6" s="51" customFormat="1" x14ac:dyDescent="0.2">
      <c r="B101" s="263" t="s">
        <v>428</v>
      </c>
      <c r="C101" s="261" t="s">
        <v>180</v>
      </c>
      <c r="D101" s="417"/>
    </row>
    <row r="102" spans="2:6" s="51" customFormat="1" x14ac:dyDescent="0.2">
      <c r="B102" s="263" t="s">
        <v>182</v>
      </c>
      <c r="C102" s="261"/>
      <c r="D102" s="417"/>
    </row>
    <row r="103" spans="2:6" s="299" customFormat="1" x14ac:dyDescent="0.2">
      <c r="B103" s="263"/>
      <c r="C103" s="261"/>
      <c r="D103" s="417"/>
      <c r="E103" s="51"/>
      <c r="F103" s="51"/>
    </row>
    <row r="104" spans="2:6" s="299" customFormat="1" x14ac:dyDescent="0.2">
      <c r="B104" s="263"/>
      <c r="C104" s="261"/>
      <c r="D104" s="417"/>
      <c r="E104" s="51"/>
      <c r="F104" s="51"/>
    </row>
    <row r="105" spans="2:6" s="51" customFormat="1" x14ac:dyDescent="0.2">
      <c r="B105" s="263"/>
      <c r="C105" s="261"/>
      <c r="D105" s="417"/>
    </row>
    <row r="106" spans="2:6" x14ac:dyDescent="0.2">
      <c r="B106" s="263"/>
      <c r="C106" s="261"/>
      <c r="D106" s="417"/>
      <c r="E106" s="51"/>
      <c r="F106" s="51"/>
    </row>
    <row r="107" spans="2:6" x14ac:dyDescent="0.2">
      <c r="B107" s="263"/>
      <c r="C107" s="261"/>
      <c r="D107" s="417"/>
      <c r="E107" s="51"/>
      <c r="F107" s="51"/>
    </row>
    <row r="108" spans="2:6" x14ac:dyDescent="0.2">
      <c r="B108" s="263"/>
      <c r="C108" s="261"/>
      <c r="D108" s="417"/>
      <c r="E108" s="51"/>
      <c r="F108" s="51"/>
    </row>
    <row r="109" spans="2:6" x14ac:dyDescent="0.2">
      <c r="B109" s="263"/>
      <c r="C109" s="261"/>
      <c r="D109" s="417"/>
      <c r="E109" s="51"/>
      <c r="F109" s="51"/>
    </row>
    <row r="110" spans="2:6" x14ac:dyDescent="0.2">
      <c r="B110" s="418"/>
      <c r="C110" s="417"/>
      <c r="D110" s="417"/>
      <c r="E110" s="51"/>
      <c r="F110" s="51"/>
    </row>
    <row r="111" spans="2:6" x14ac:dyDescent="0.2">
      <c r="B111" s="418"/>
      <c r="C111" s="417"/>
      <c r="D111" s="417"/>
      <c r="E111" s="51"/>
      <c r="F111" s="51"/>
    </row>
    <row r="112" spans="2:6" x14ac:dyDescent="0.2">
      <c r="B112" s="418"/>
      <c r="C112" s="417"/>
      <c r="D112" s="417"/>
      <c r="E112" s="51"/>
      <c r="F112" s="51"/>
    </row>
  </sheetData>
  <sheetProtection formatCells="0" formatColumns="0" formatRows="0" insertColumns="0" insertRows="0" insertHyperlinks="0" deleteColumns="0" deleteRows="0" sort="0" autoFilter="0" pivotTables="0"/>
  <mergeCells count="4">
    <mergeCell ref="G5:H5"/>
    <mergeCell ref="G6:H6"/>
    <mergeCell ref="D8:H8"/>
    <mergeCell ref="D5:E5"/>
  </mergeCells>
  <hyperlinks>
    <hyperlink ref="G5:H5" location="'Energy transmission'!A1" display="'Energy transmission'!A1"/>
    <hyperlink ref="G6:H6" location="'Financial ratios'!A1" display="'Financial ratios'!A1"/>
  </hyperlinks>
  <pageMargins left="0.7" right="0.7" top="0.75" bottom="0.75" header="0.3" footer="0.3"/>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21</vt:i4>
      </vt:variant>
    </vt:vector>
  </HeadingPairs>
  <TitlesOfParts>
    <vt:vector size="34" baseType="lpstr">
      <vt:lpstr>Contents</vt:lpstr>
      <vt:lpstr>Disclaimer</vt:lpstr>
      <vt:lpstr>Definitions</vt:lpstr>
      <vt:lpstr>Macroeconomics</vt:lpstr>
      <vt:lpstr>Shareholder capital</vt:lpstr>
      <vt:lpstr>Share price quotes</vt:lpstr>
      <vt:lpstr>Financial statements (IFRS)</vt:lpstr>
      <vt:lpstr>Financial ratios</vt:lpstr>
      <vt:lpstr>Operational data</vt:lpstr>
      <vt:lpstr>Energy transmission</vt:lpstr>
      <vt:lpstr>Investment program</vt:lpstr>
      <vt:lpstr>LT investment program</vt:lpstr>
      <vt:lpstr>RAB </vt:lpstr>
      <vt:lpstr>Macroeconomics!_ftn1</vt:lpstr>
      <vt:lpstr>'Shareholder capital'!_ftn1</vt:lpstr>
      <vt:lpstr>Macroeconomics!_ftn2</vt:lpstr>
      <vt:lpstr>'Shareholder capital'!_ftn2</vt:lpstr>
      <vt:lpstr>Definitions!_ftnref1</vt:lpstr>
      <vt:lpstr>Macroeconomics!_ftnref1</vt:lpstr>
      <vt:lpstr>'Shareholder capital'!_ftnref1</vt:lpstr>
      <vt:lpstr>Macroeconomics!_ftnref2</vt:lpstr>
      <vt:lpstr>Contents!Область_печати</vt:lpstr>
      <vt:lpstr>Definitions!Область_печати</vt:lpstr>
      <vt:lpstr>Disclaimer!Область_печати</vt:lpstr>
      <vt:lpstr>'Energy transmission'!Область_печати</vt:lpstr>
      <vt:lpstr>'Financial ratios'!Область_печати</vt:lpstr>
      <vt:lpstr>'Financial statements (IFRS)'!Область_печати</vt:lpstr>
      <vt:lpstr>'Investment program'!Область_печати</vt:lpstr>
      <vt:lpstr>'LT investment program'!Область_печати</vt:lpstr>
      <vt:lpstr>Macroeconomics!Область_печати</vt:lpstr>
      <vt:lpstr>'Operational data'!Область_печати</vt:lpstr>
      <vt:lpstr>'RAB '!Область_печати</vt:lpstr>
      <vt:lpstr>'Share price quotes'!Область_печати</vt:lpstr>
      <vt:lpstr>'Shareholder capital'!Область_печати</vt:lpstr>
    </vt:vector>
  </TitlesOfParts>
  <Company>LGO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Morozova.SU</dc:creator>
  <cp:lastModifiedBy>Соболева Татьяна Георгиевна</cp:lastModifiedBy>
  <cp:lastPrinted>2021-02-09T12:46:04Z</cp:lastPrinted>
  <dcterms:created xsi:type="dcterms:W3CDTF">2009-12-08T08:31:25Z</dcterms:created>
  <dcterms:modified xsi:type="dcterms:W3CDTF">2023-05-23T07:30:12Z</dcterms:modified>
</cp:coreProperties>
</file>